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2"/>
  <workbookPr codeName="ThisWorkbook" defaultThemeVersion="166925"/>
  <mc:AlternateContent xmlns:mc="http://schemas.openxmlformats.org/markup-compatibility/2006">
    <mc:Choice Requires="x15">
      <x15ac:absPath xmlns:x15ac="http://schemas.microsoft.com/office/spreadsheetml/2010/11/ac" url="https://trccompanies.sharepoint.com/sites/AE-Projects/sweetp/Shared Documents/Implementation Projects/2023.0012_Craft Brewery Industrial Heat Pump Screening Tool/Deliverables/Final Report/"/>
    </mc:Choice>
  </mc:AlternateContent>
  <xr:revisionPtr revIDLastSave="0" documentId="8_{EF392512-87AB-45A4-823F-78813F00EAAA}" xr6:coauthVersionLast="47" xr6:coauthVersionMax="47" xr10:uidLastSave="{00000000-0000-0000-0000-000000000000}"/>
  <bookViews>
    <workbookView xWindow="28680" yWindow="-120" windowWidth="29040" windowHeight="15840" tabRatio="821" firstSheet="1" activeTab="1" xr2:uid="{E3A66608-98DC-4FA3-8E26-6E0B76FAEE8F}"/>
  </bookViews>
  <sheets>
    <sheet name="Landing Page" sheetId="13" r:id="rId1"/>
    <sheet name="Introduction" sheetId="18" r:id="rId2"/>
    <sheet name="Comparison Calcs" sheetId="12" r:id="rId3"/>
    <sheet name="Reference" sheetId="1" r:id="rId4"/>
    <sheet name="Data Dictionary" sheetId="9" r:id="rId5"/>
    <sheet name="ASHPWH" sheetId="15" r:id="rId6"/>
    <sheet name="SGHP" sheetId="16" r:id="rId7"/>
    <sheet name="Heat Recovery" sheetId="14" r:id="rId8"/>
    <sheet name="Other EE Measures" sheetId="17" r:id="rId9"/>
    <sheet name="Figure 1" sheetId="19" r:id="rId10"/>
    <sheet name="Figure 2" sheetId="20" r:id="rId11"/>
  </sheets>
  <definedNames>
    <definedName name="Actual_COP_percent_of_ideal">Reference!$C$13</definedName>
    <definedName name="Boiler_Efficiency">Reference!$C$15</definedName>
    <definedName name="boiler_hp_per_kW">Reference!$C$45</definedName>
    <definedName name="Boiler_Size__BHP" localSheetId="5">ASHPWH!$B$39</definedName>
    <definedName name="Boiler_Size__BHP" localSheetId="6">SGHP!$B$37</definedName>
    <definedName name="Boiler_size_BHP" localSheetId="7">'Heat Recovery'!$E$39</definedName>
    <definedName name="boiler_size_in__kW" localSheetId="6">SGHP!$B$106</definedName>
    <definedName name="Boiler_useful_output__kW" localSheetId="6">SGHP!$B$107</definedName>
    <definedName name="btu_per_kJ">Reference!$C$44</definedName>
    <definedName name="btuh_per_boiler_hp">Reference!$C$43</definedName>
    <definedName name="Cooled_Water_Volume__bbl" localSheetId="7">'Heat Recovery'!$E$24</definedName>
    <definedName name="Cooling_Calculated_Ending_Water_Temperature__°F" localSheetId="7">'Heat Recovery'!$E$27</definedName>
    <definedName name="Cooling_Starting_Water_Temperature__°F" localSheetId="7">'Heat Recovery'!$E$23</definedName>
    <definedName name="COP_estimate" localSheetId="7">'Heat Recovery'!$H$69</definedName>
    <definedName name="Cp_H2O">Reference!$C$50</definedName>
    <definedName name="Electricity_Cost_per_kWh">Reference!$C$26</definedName>
    <definedName name="Electricity_Heat_Pump__kWh" localSheetId="5">ASHPWH!$B$56</definedName>
    <definedName name="Heat_Pump_COP" localSheetId="5">ASHPWH!$B$40</definedName>
    <definedName name="Heat_Pump_COP" localSheetId="6">SGHP!$B$39</definedName>
    <definedName name="Heat_pump_input_required__kW" localSheetId="6">SGHP!$B$108</definedName>
    <definedName name="Heat_pump_input_required_kW" localSheetId="5">ASHPWH!$B$106</definedName>
    <definedName name="Heat_pump_kwh" localSheetId="6">SGHP!$B$53</definedName>
    <definedName name="heat_pump_T_in__°C" localSheetId="7">'Heat Recovery'!$H$66</definedName>
    <definedName name="heat_pump_T_out__°C" localSheetId="7">'Heat Recovery'!$H$67</definedName>
    <definedName name="heat_sink_calculated_flow_rate_gpm" localSheetId="7">'Heat Recovery'!$B$74</definedName>
    <definedName name="heat_sink_calculated_Time_minutes" localSheetId="7">'Heat Recovery'!$B$73</definedName>
    <definedName name="heat_sink_delta_T°F" localSheetId="7">'Heat Recovery'!$B$71</definedName>
    <definedName name="heat_sink_Flow_rate__gpm" localSheetId="7">'Heat Recovery'!$B$30</definedName>
    <definedName name="heat_sink_Flow_Rate__lpm" localSheetId="7">'Heat Recovery'!$B$75</definedName>
    <definedName name="heat_sink_Hot_Water_Volume__bbl" localSheetId="7">'Heat Recovery'!$B$28</definedName>
    <definedName name="heat_sink_Mass_flow__kg_s" localSheetId="7">'Heat Recovery'!$B$77</definedName>
    <definedName name="heat_sink_Q_in__kW__kJ_s" localSheetId="7">'Heat Recovery'!$B$78</definedName>
    <definedName name="Heat_sink_Temp_in" localSheetId="7">'Heat Recovery'!$B$66</definedName>
    <definedName name="Heat_sink_Temp_out" localSheetId="7">'Heat Recovery'!$B$68</definedName>
    <definedName name="heat_sink_Total_Energy__kJ" localSheetId="7">'Heat Recovery'!$B$79</definedName>
    <definedName name="heat_sink_total_mass_kg" localSheetId="7">'Heat Recovery'!$B$76</definedName>
    <definedName name="heat_sink_total_volume_bbl" localSheetId="7">'Heat Recovery'!$B$72</definedName>
    <definedName name="heat_sinkdelta_T" localSheetId="7">'Heat Recovery'!$B$70</definedName>
    <definedName name="heat_source_delta_T" localSheetId="7">'Heat Recovery'!#REF!</definedName>
    <definedName name="heat_source_delta_T">#REF!</definedName>
    <definedName name="heat_source_Ending_Energy" localSheetId="7">'Heat Recovery'!$E$70</definedName>
    <definedName name="heat_source_Ending_Temperature__°C" localSheetId="7">'Heat Recovery'!$E$71</definedName>
    <definedName name="heat_source_Ending_Temperature__°F" localSheetId="7">'Heat Recovery'!$E$72</definedName>
    <definedName name="heat_source_Starting_energy" localSheetId="7">'Heat Recovery'!$E$69</definedName>
    <definedName name="heat_source_T_in__°C" localSheetId="7">'Heat Recovery'!$E$66</definedName>
    <definedName name="heat_source_T_out__°C" localSheetId="7">'Heat Recovery'!#REF!</definedName>
    <definedName name="heat_source_time" localSheetId="7">'Heat Recovery'!#REF!</definedName>
    <definedName name="heat_source_Total_Mass__kg" localSheetId="7">'Heat Recovery'!$E$68</definedName>
    <definedName name="heat_source_total_volume_bbl" localSheetId="7">'Heat Recovery'!#REF!</definedName>
    <definedName name="Heating_Desired_Water_Temperature__°F" localSheetId="7">'Heat Recovery'!$B$24</definedName>
    <definedName name="Heating_Starting_Water_Temperature__°F" localSheetId="7">'Heat Recovery'!$B$23</definedName>
    <definedName name="HP_approach_temp">Reference!$C$12</definedName>
    <definedName name="K_to_C">Reference!$C$33</definedName>
    <definedName name="kg_CO2_per_kWh">Reference!$C$20</definedName>
    <definedName name="kg_CO2_per_therm">Reference!$C$22</definedName>
    <definedName name="kilojoule_per_hour" localSheetId="6">SGHP!$B$109</definedName>
    <definedName name="kJ_per_hour" localSheetId="6">SGHP!$B$109</definedName>
    <definedName name="kJ_per_hour">#REF!</definedName>
    <definedName name="kj_per_kwh">Reference!$C$49</definedName>
    <definedName name="kJ_per_therm">Reference!$C$42</definedName>
    <definedName name="kW_per_BTUh">Reference!$C$46</definedName>
    <definedName name="kW_to_kWh">Reference!$C$47</definedName>
    <definedName name="liters_per_barrel">Reference!$C$36</definedName>
    <definedName name="Natural_Gas__therm" localSheetId="5">ASHPWH!$B$55</definedName>
    <definedName name="Natural_gas_therm" localSheetId="7">'Heat Recovery'!$B$40</definedName>
    <definedName name="Natural_gas_therm" localSheetId="6">SGHP!$B$52</definedName>
    <definedName name="NG_Cost_per_therm">Reference!$C$28</definedName>
    <definedName name="steam_efficiency">Reference!$C$14</definedName>
    <definedName name="Temperature_Difference__°F" localSheetId="7">'Heat Recovery'!$B$25</definedName>
    <definedName name="therm_per_Mcf">Reference!$C$48</definedName>
    <definedName name="Time__minutes" localSheetId="7">'Heat Recovery'!$B$29</definedName>
    <definedName name="Total_Volume__bbl" localSheetId="7">'Heat Recovery'!#REF!</definedName>
    <definedName name="W_in__kW" localSheetId="7">'Heat Recovery'!$H$70</definedName>
    <definedName name="Water_Heater_Efficiency" localSheetId="5">ASHPWH!$B$39</definedName>
    <definedName name="Water_Heater_output__kJ__per_hour" localSheetId="5">ASHPWH!$B$107</definedName>
    <definedName name="Water_Heater_size_in__kW" localSheetId="5">ASHPWH!$B$104</definedName>
    <definedName name="Water_Heater_size_kBTUh" localSheetId="5">ASHPWH!$B$38</definedName>
    <definedName name="water_heater_useful_output_kW" localSheetId="5">ASHPWH!$B$105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14" l="1"/>
  <c r="E23" i="14"/>
  <c r="B32" i="14"/>
  <c r="B29" i="14"/>
  <c r="B28" i="14"/>
  <c r="B24" i="14"/>
  <c r="B23" i="14"/>
  <c r="B44" i="16"/>
  <c r="B43" i="16"/>
  <c r="B39" i="16"/>
  <c r="B38" i="16"/>
  <c r="B37" i="16"/>
  <c r="B44" i="15"/>
  <c r="B43" i="15"/>
  <c r="B40" i="15"/>
  <c r="B39" i="15"/>
  <c r="B38" i="15"/>
  <c r="B27" i="16"/>
  <c r="A17" i="16"/>
  <c r="A16" i="16"/>
  <c r="A15" i="16"/>
  <c r="A14" i="16"/>
  <c r="A17" i="14"/>
  <c r="A16" i="14"/>
  <c r="A15" i="14"/>
  <c r="A14" i="14"/>
  <c r="B28" i="16"/>
  <c r="E25" i="16"/>
  <c r="E26" i="16" s="1"/>
  <c r="B29" i="16" l="1"/>
  <c r="E25" i="15"/>
  <c r="E26" i="15" s="1"/>
  <c r="B28" i="15"/>
  <c r="B29" i="15" s="1"/>
  <c r="B27" i="15"/>
  <c r="C28" i="1"/>
  <c r="C26" i="1"/>
  <c r="B30" i="16"/>
  <c r="B104" i="15"/>
  <c r="B107" i="15" l="1"/>
  <c r="B105" i="15"/>
  <c r="B106" i="16"/>
  <c r="B107" i="16" s="1"/>
  <c r="B108" i="16" s="1"/>
  <c r="B31" i="16"/>
  <c r="E27" i="16"/>
  <c r="E28" i="16" s="1"/>
  <c r="B30" i="15"/>
  <c r="E27" i="15"/>
  <c r="E28" i="15" s="1"/>
  <c r="B46" i="16" a="1"/>
  <c r="B46" i="16" s="1"/>
  <c r="D59" i="12" s="1"/>
  <c r="B53" i="16" l="1"/>
  <c r="B76" i="16" s="1"/>
  <c r="B109" i="16"/>
  <c r="B52" i="16" s="1"/>
  <c r="E52" i="16" s="1"/>
  <c r="B108" i="15"/>
  <c r="B106" i="15"/>
  <c r="B31" i="15"/>
  <c r="B46" i="15" s="1" a="1"/>
  <c r="B46" i="15" s="1"/>
  <c r="D46" i="12" s="1"/>
  <c r="B55" i="15" l="1"/>
  <c r="B78" i="15" s="1"/>
  <c r="B56" i="15"/>
  <c r="E56" i="15" s="1"/>
  <c r="B75" i="16"/>
  <c r="B64" i="16" s="1"/>
  <c r="P53" i="12" s="1"/>
  <c r="B65" i="16"/>
  <c r="Q53" i="12" s="1"/>
  <c r="Q55" i="12"/>
  <c r="H53" i="12"/>
  <c r="H54" i="12"/>
  <c r="B67" i="15" l="1"/>
  <c r="P41" i="12" s="1"/>
  <c r="P43" i="12"/>
  <c r="H41" i="12"/>
  <c r="P55" i="12"/>
  <c r="B79" i="15"/>
  <c r="H42" i="12"/>
  <c r="B68" i="15" l="1"/>
  <c r="Q43" i="12"/>
  <c r="E68" i="14"/>
  <c r="E66" i="14"/>
  <c r="B69" i="14" a="1"/>
  <c r="B69" i="14" s="1"/>
  <c r="B67" i="14" a="1"/>
  <c r="B67" i="14" s="1"/>
  <c r="B66" i="14" s="1"/>
  <c r="C48" i="1"/>
  <c r="Q41" i="12" l="1"/>
  <c r="B68" i="14"/>
  <c r="H67" i="14" s="1"/>
  <c r="B74" i="14" a="1"/>
  <c r="B74" i="14" s="1"/>
  <c r="B75" i="14" s="1"/>
  <c r="B77" i="14" s="1"/>
  <c r="E55" i="15"/>
  <c r="E78" i="15" s="1"/>
  <c r="E75" i="16"/>
  <c r="B73" i="14" a="1"/>
  <c r="B73" i="14" s="1"/>
  <c r="E69" i="14"/>
  <c r="B71" i="14" a="1"/>
  <c r="B71" i="14" s="1"/>
  <c r="B70" i="14" s="1"/>
  <c r="E67" i="14"/>
  <c r="B72" i="14" a="1"/>
  <c r="B72" i="14" s="1"/>
  <c r="B76" i="14" s="1"/>
  <c r="E64" i="16" l="1"/>
  <c r="P54" i="12" s="1"/>
  <c r="P56" i="12"/>
  <c r="E67" i="15"/>
  <c r="P42" i="12" s="1"/>
  <c r="P44" i="12"/>
  <c r="L54" i="12"/>
  <c r="L41" i="12"/>
  <c r="B78" i="14"/>
  <c r="B79" i="14"/>
  <c r="B40" i="14" s="1"/>
  <c r="E44" i="14" s="1"/>
  <c r="H65" i="12" l="1"/>
  <c r="L65" i="12"/>
  <c r="E70" i="14"/>
  <c r="E71" i="14" s="1"/>
  <c r="B51" i="14"/>
  <c r="E72" i="14" l="1"/>
  <c r="E27" i="14" s="1"/>
  <c r="P73" i="12" s="1"/>
  <c r="H66" i="14"/>
  <c r="H68" i="14" s="1"/>
  <c r="H69" i="14" s="1"/>
  <c r="H70" i="14" s="1"/>
  <c r="H71" i="14" s="1"/>
  <c r="B56" i="14"/>
  <c r="P65" i="12"/>
  <c r="C22" i="1"/>
  <c r="B59" i="15" s="1"/>
  <c r="B83" i="15" s="1"/>
  <c r="B71" i="15" s="1"/>
  <c r="C20" i="1"/>
  <c r="B41" i="14" l="1"/>
  <c r="E45" i="14" s="1"/>
  <c r="C52" i="14" s="1"/>
  <c r="P67" i="12"/>
  <c r="B58" i="14"/>
  <c r="B60" i="15"/>
  <c r="B57" i="16"/>
  <c r="B80" i="16" s="1"/>
  <c r="H46" i="12"/>
  <c r="B56" i="16"/>
  <c r="B79" i="16" s="1"/>
  <c r="B44" i="14"/>
  <c r="H70" i="12" s="1"/>
  <c r="B45" i="14" l="1"/>
  <c r="H71" i="12" s="1"/>
  <c r="H66" i="12"/>
  <c r="C51" i="14"/>
  <c r="C56" i="14" s="1"/>
  <c r="H47" i="12"/>
  <c r="B84" i="15"/>
  <c r="B72" i="15" s="1"/>
  <c r="B68" i="16"/>
  <c r="H59" i="12"/>
  <c r="H58" i="12"/>
  <c r="Q65" i="12" l="1"/>
  <c r="Q67" i="12"/>
  <c r="C58" i="14"/>
  <c r="E79" i="15"/>
  <c r="E53" i="16"/>
  <c r="E76" i="16" s="1"/>
  <c r="E65" i="16" l="1"/>
  <c r="Q54" i="12" s="1"/>
  <c r="Q56" i="12"/>
  <c r="E68" i="15"/>
  <c r="Q42" i="12" s="1"/>
  <c r="Q44" i="12"/>
  <c r="L42" i="12"/>
  <c r="L55" i="12"/>
  <c r="L66" i="12"/>
  <c r="C57" i="14" l="1"/>
  <c r="Q68" i="12" s="1"/>
  <c r="Q66" i="12"/>
  <c r="B52" i="14" l="1"/>
  <c r="P66" i="12" s="1"/>
  <c r="B57" i="14" l="1"/>
  <c r="P68" i="12" s="1"/>
  <c r="B69"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tc={49E3C056-263B-4A63-B6F3-CA422454BA63}</author>
  </authors>
  <commentList>
    <comment ref="A105" authorId="0" shapeId="0" xr:uid="{49E3C056-263B-4A63-B6F3-CA422454BA63}">
      <text>
        <t>[Threaded comment]
Your version of Excel allows you to read this threaded comment; however, any edits to it will get removed if the file is opened in a newer version of Excel. Learn more: https://go.microsoft.com/fwlink/?linkid=870924
Comment:
    Jose recommended remove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<sst xmlns="http://schemas.openxmlformats.org/spreadsheetml/2006/main" count="1138" uniqueCount="582">
  <si>
    <t xml:space="preserve">CalNext Craft Brewery Screening Tool </t>
  </si>
  <si>
    <t>Navigation</t>
  </si>
  <si>
    <t>Screen (tab)</t>
  </si>
  <si>
    <t>Description</t>
  </si>
  <si>
    <t>Introduction</t>
  </si>
  <si>
    <t>This sheet gives an overview of the three heat pump technologies and their uses in craft breweries.</t>
  </si>
  <si>
    <t>Comparison Calculations</t>
  </si>
  <si>
    <t>This sheet is the main tool, strongly suggest the user begin calculations here.</t>
  </si>
  <si>
    <t>Reference</t>
  </si>
  <si>
    <t>This sheet includes reference values used in equations along with their sources</t>
  </si>
  <si>
    <t>Data Dictionary</t>
  </si>
  <si>
    <t>This sheet defines all the variables and assumptions used in the tool.</t>
  </si>
  <si>
    <t>Heat Recovery</t>
  </si>
  <si>
    <t xml:space="preserve">This sheet goes into detail about the inputs, outputs, and calculations for the heat recovery technology specifically. </t>
  </si>
  <si>
    <t>ASHPWH</t>
  </si>
  <si>
    <t xml:space="preserve">This sheet goes into detail about the inputs, outputs, and calculations for the air source heat pump water heater technology specifically. </t>
  </si>
  <si>
    <t>SGHP</t>
  </si>
  <si>
    <t xml:space="preserve">This sheet goes into detail about the inputs, outputs, and calculations for the steam generating heat pump technology specifically. </t>
  </si>
  <si>
    <t>Other EE Measures</t>
  </si>
  <si>
    <t xml:space="preserve">This sheet includes a measure list of other energy efficient measure options to consider for brewers. </t>
  </si>
  <si>
    <t>Heat Pumps by Brewery Process</t>
  </si>
  <si>
    <t>Main Calculation Tool</t>
  </si>
  <si>
    <t>Color Coding Legend</t>
  </si>
  <si>
    <t>User Input</t>
  </si>
  <si>
    <t>Intermediate Calculated Value</t>
  </si>
  <si>
    <t>Output Calculation result</t>
  </si>
  <si>
    <t>Final output</t>
  </si>
  <si>
    <t>Inputs</t>
  </si>
  <si>
    <t>Outputs</t>
  </si>
  <si>
    <t>Energy Costs</t>
  </si>
  <si>
    <t>Variables</t>
  </si>
  <si>
    <t>Default Value (EIA 7/2024)</t>
  </si>
  <si>
    <t>Values</t>
  </si>
  <si>
    <t>Natural Gas dollars per therm</t>
  </si>
  <si>
    <t>Electricity dollar per kilowatt-hour</t>
  </si>
  <si>
    <t>Air Source Heat Pump Water Heater</t>
  </si>
  <si>
    <t>Hourly Outputs</t>
  </si>
  <si>
    <t>Per Barrel and Annual Outputs</t>
  </si>
  <si>
    <t>Energy Input</t>
  </si>
  <si>
    <t>Cost</t>
  </si>
  <si>
    <t>Usage</t>
  </si>
  <si>
    <t>Natural Gas (therms)</t>
  </si>
  <si>
    <t>Electricity (kWh)</t>
  </si>
  <si>
    <t>Annual Hours of Operation</t>
  </si>
  <si>
    <t>Natural Gas (therm)</t>
  </si>
  <si>
    <t>Natural Gas</t>
  </si>
  <si>
    <t>Energy per Barrel</t>
  </si>
  <si>
    <t>Annual Production (barrels)</t>
  </si>
  <si>
    <t>Electricity Heat Pump (kWh)</t>
  </si>
  <si>
    <t>Electricity Heat Pump</t>
  </si>
  <si>
    <t>Cost per Barrel</t>
  </si>
  <si>
    <t>Water Heater Size (kBTU/hour)</t>
  </si>
  <si>
    <t>Annual Energy</t>
  </si>
  <si>
    <t>Water Heater Efficiency (%)</t>
  </si>
  <si>
    <t>Emissions (kg CO2)</t>
  </si>
  <si>
    <t>Annual Cost</t>
  </si>
  <si>
    <t>Heat Pump Water Heater COP</t>
  </si>
  <si>
    <t>Equipment Average Load</t>
  </si>
  <si>
    <t>Steam Generating Heat Pump</t>
  </si>
  <si>
    <t>Steam Generating Heat Pump COP</t>
  </si>
  <si>
    <t>Boiler Size (BHP)</t>
  </si>
  <si>
    <t>Boiler Efficiency</t>
  </si>
  <si>
    <t>Heat Recovery Chiller</t>
  </si>
  <si>
    <t>Batch Outputs</t>
  </si>
  <si>
    <t>Per Batch and Annual Outputs</t>
  </si>
  <si>
    <r>
      <rPr>
        <b/>
        <u/>
        <sz val="11"/>
        <color theme="0"/>
        <rFont val="Franklin Gothic Book"/>
        <family val="2"/>
      </rPr>
      <t>Check Values!</t>
    </r>
    <r>
      <rPr>
        <sz val="11"/>
        <color theme="0"/>
        <rFont val="Franklin Gothic Book"/>
        <family val="2"/>
      </rPr>
      <t xml:space="preserve">
</t>
    </r>
    <r>
      <rPr>
        <u/>
        <sz val="11"/>
        <color theme="0"/>
        <rFont val="Franklin Gothic Book"/>
        <family val="2"/>
      </rPr>
      <t>A Value</t>
    </r>
    <r>
      <rPr>
        <sz val="11"/>
        <color theme="0"/>
        <rFont val="Franklin Gothic Book"/>
        <family val="2"/>
      </rPr>
      <t xml:space="preserve"> or
</t>
    </r>
    <r>
      <rPr>
        <u/>
        <sz val="11"/>
        <color theme="0"/>
        <rFont val="Franklin Gothic Book"/>
        <family val="2"/>
      </rPr>
      <t>A Combination
of Values</t>
    </r>
    <r>
      <rPr>
        <sz val="11"/>
        <color theme="0"/>
        <rFont val="Franklin Gothic Book"/>
        <family val="2"/>
      </rPr>
      <t xml:space="preserve">
Results in
Invalid Calculation
(negative COP)</t>
    </r>
  </si>
  <si>
    <t>Starting Temperature (°F)</t>
  </si>
  <si>
    <t>Batch outputs</t>
  </si>
  <si>
    <t>Target Temperature (°F)</t>
  </si>
  <si>
    <t>Hot Water Volume (BBL)</t>
  </si>
  <si>
    <t>Time (minutes)</t>
  </si>
  <si>
    <t>Cooling water Temperature (°F)</t>
  </si>
  <si>
    <t>Cooling water Volume (BBL)</t>
  </si>
  <si>
    <t>Value</t>
  </si>
  <si>
    <t>Cooled water ending Temperature</t>
  </si>
  <si>
    <t>References and values used for calculations</t>
  </si>
  <si>
    <t>Performance Assumptions</t>
  </si>
  <si>
    <t>Variable</t>
  </si>
  <si>
    <t>Link</t>
  </si>
  <si>
    <t>Delta_T_Approach (K)</t>
  </si>
  <si>
    <t>DOE-EERE</t>
  </si>
  <si>
    <t>Actual COP (%)</t>
  </si>
  <si>
    <t>Steam Efficiency (%)</t>
  </si>
  <si>
    <t>Inveno Engineering</t>
  </si>
  <si>
    <t>Boiler Efficiency (%)</t>
  </si>
  <si>
    <t>Emissions</t>
  </si>
  <si>
    <t>Emissions kg CO2 /MWh</t>
  </si>
  <si>
    <t>eGRID</t>
  </si>
  <si>
    <t>Emissions kg CO2/ kWh</t>
  </si>
  <si>
    <t>derived from eGrid</t>
  </si>
  <si>
    <t>Emissions kg CO2/mmBTU</t>
  </si>
  <si>
    <t>Emissions kg CO2 /therm</t>
  </si>
  <si>
    <t>Energy Cost</t>
  </si>
  <si>
    <t>Electricity Cost per kWh ($)</t>
  </si>
  <si>
    <t>EIA - Commercial</t>
  </si>
  <si>
    <t>NG Cost per Mcf ($)</t>
  </si>
  <si>
    <t>EIA</t>
  </si>
  <si>
    <t>NG Cost per therm ($)</t>
  </si>
  <si>
    <t>derived from EIA</t>
  </si>
  <si>
    <t>Conversions and Miscellaneous Assumptions</t>
  </si>
  <si>
    <t>°C to K</t>
  </si>
  <si>
    <t>°R to °F</t>
  </si>
  <si>
    <t>liters per gallon</t>
  </si>
  <si>
    <t>liters per barrel</t>
  </si>
  <si>
    <t>gallons per barrel</t>
  </si>
  <si>
    <t>btu per kWh</t>
  </si>
  <si>
    <t>kWh per therm</t>
  </si>
  <si>
    <t>btu per therm</t>
  </si>
  <si>
    <t>kJ per kWh</t>
  </si>
  <si>
    <t>kJ per therm</t>
  </si>
  <si>
    <t>btuh per boiler hp</t>
  </si>
  <si>
    <t>btu per kJ</t>
  </si>
  <si>
    <t>boiler hp to kW</t>
  </si>
  <si>
    <t>kW per BTUh</t>
  </si>
  <si>
    <t>kW to kWh</t>
  </si>
  <si>
    <t>therm per Mcf</t>
  </si>
  <si>
    <t>kj per kwh</t>
  </si>
  <si>
    <t>heat capacity H2O (kJ/kg*K)</t>
  </si>
  <si>
    <t>Density water (lb/gal)</t>
  </si>
  <si>
    <t>Drop down menus</t>
  </si>
  <si>
    <t>Load factor time period</t>
  </si>
  <si>
    <t>Batch</t>
  </si>
  <si>
    <t>Month</t>
  </si>
  <si>
    <t>Year</t>
  </si>
  <si>
    <t>Load Factor Calculation Source</t>
  </si>
  <si>
    <t>%</t>
  </si>
  <si>
    <t>Default Estimate</t>
  </si>
  <si>
    <t>Bill Data Calculation</t>
  </si>
  <si>
    <t>Meter Data Calculation</t>
  </si>
  <si>
    <t>Variable Cell References</t>
  </si>
  <si>
    <t>Variable Name</t>
  </si>
  <si>
    <t>Location in Spreadsheet</t>
  </si>
  <si>
    <t>Actual_COP_percent_of_ideal</t>
  </si>
  <si>
    <t>=Reference!$C$13</t>
  </si>
  <si>
    <t>Boiler_Efficiency</t>
  </si>
  <si>
    <t>=Reference!$C$15</t>
  </si>
  <si>
    <t>boiler_hp_per_kW</t>
  </si>
  <si>
    <t>=Reference!$C$45</t>
  </si>
  <si>
    <t>btu_per_kJ</t>
  </si>
  <si>
    <t>=Reference!$C$44</t>
  </si>
  <si>
    <t>btuh_per_boiler_hp</t>
  </si>
  <si>
    <t>=Reference!$C$43</t>
  </si>
  <si>
    <t>Cp_H2O</t>
  </si>
  <si>
    <t>=Reference!$C$50</t>
  </si>
  <si>
    <t>Electricity_Cost_per_kWh</t>
  </si>
  <si>
    <t>=Reference!$C$26</t>
  </si>
  <si>
    <t>HP_approach_temp</t>
  </si>
  <si>
    <t>=Reference!$C$12</t>
  </si>
  <si>
    <t>K_to_C</t>
  </si>
  <si>
    <t>=Reference!$C$33</t>
  </si>
  <si>
    <t>kg_CO2_per_kWh</t>
  </si>
  <si>
    <t>=Reference!$C$20</t>
  </si>
  <si>
    <t>kg_CO2_per_therm</t>
  </si>
  <si>
    <t>=Reference!$C$22</t>
  </si>
  <si>
    <t>kj_per_kwh</t>
  </si>
  <si>
    <t>=Reference!$C$49</t>
  </si>
  <si>
    <t>kJ_per_therm</t>
  </si>
  <si>
    <t>=Reference!$C$42</t>
  </si>
  <si>
    <t>kW_per_BTUh</t>
  </si>
  <si>
    <t>=Reference!$C$46</t>
  </si>
  <si>
    <t>kW_to_kWh</t>
  </si>
  <si>
    <t>=Reference!$C$47</t>
  </si>
  <si>
    <t>liters_per_barrel</t>
  </si>
  <si>
    <t>=Reference!$C$36</t>
  </si>
  <si>
    <t>NG_Cost_per_therm</t>
  </si>
  <si>
    <t>=Reference!$C$28</t>
  </si>
  <si>
    <t>steam_efficiency</t>
  </si>
  <si>
    <t>=Reference!$C$14</t>
  </si>
  <si>
    <t>therm_per_Mcf</t>
  </si>
  <si>
    <t>=Reference!$C$48</t>
  </si>
  <si>
    <t>Boiler_Size__BHP</t>
  </si>
  <si>
    <t>=ASHPWH!$B$39</t>
  </si>
  <si>
    <t>Electricity_Heat_Pump__kWh</t>
  </si>
  <si>
    <t>=ASHPWH!$B$56</t>
  </si>
  <si>
    <t>Heat_Pump_COP</t>
  </si>
  <si>
    <t>=ASHPWH!$B$40</t>
  </si>
  <si>
    <t>Heat_pump_input_required_kW</t>
  </si>
  <si>
    <t>=ASHPWH!$B$106</t>
  </si>
  <si>
    <t>Natural_Gas__therm</t>
  </si>
  <si>
    <t>=ASHPWH!$B$55</t>
  </si>
  <si>
    <t>Water_Heater_Efficiency</t>
  </si>
  <si>
    <t>Water_Heater_output__kJ__per_hour</t>
  </si>
  <si>
    <t>=ASHPWH!$B$107</t>
  </si>
  <si>
    <t>Water_Heater_size_in__kW</t>
  </si>
  <si>
    <t>=ASHPWH!$B$104</t>
  </si>
  <si>
    <t>Water_Heater_size_kBTUh</t>
  </si>
  <si>
    <t>=ASHPWH!$B$38</t>
  </si>
  <si>
    <t>water_heater_useful_output_kW</t>
  </si>
  <si>
    <t>=ASHPWH!$B$105</t>
  </si>
  <si>
    <t>=SGHP!$B$37</t>
  </si>
  <si>
    <t>boiler_size_in__kW</t>
  </si>
  <si>
    <t>=SGHP!$B$106</t>
  </si>
  <si>
    <t>Boiler_useful_output__kW</t>
  </si>
  <si>
    <t>=SGHP!$B$107</t>
  </si>
  <si>
    <t>=SGHP!$B$39</t>
  </si>
  <si>
    <t>Heat_pump_input_required__kW</t>
  </si>
  <si>
    <t>=SGHP!$B$108</t>
  </si>
  <si>
    <t>Heat_pump_kwh</t>
  </si>
  <si>
    <t>=SGHP!$B$53</t>
  </si>
  <si>
    <t>kilojoule_per_hour</t>
  </si>
  <si>
    <t>=SGHP!$B$109</t>
  </si>
  <si>
    <t>kJ_per_hour</t>
  </si>
  <si>
    <t>Natural_gas_therm</t>
  </si>
  <si>
    <t>=SGHP!$B$52</t>
  </si>
  <si>
    <t>Boiler_size_BHP</t>
  </si>
  <si>
    <t>='Heat Recovery'!$E$39</t>
  </si>
  <si>
    <t>Cooled_Water_Volume__bbl</t>
  </si>
  <si>
    <t>='Heat Recovery'!$E$24</t>
  </si>
  <si>
    <t>Cooling_Calculated_Ending_Water_Temperature__°F</t>
  </si>
  <si>
    <t>='Heat Recovery'!$E$27</t>
  </si>
  <si>
    <t>Cooling_Starting_Water_Temperature__°F</t>
  </si>
  <si>
    <t>='Heat Recovery'!$E$23</t>
  </si>
  <si>
    <t>COP_estimate</t>
  </si>
  <si>
    <t>='Heat Recovery'!$H$69</t>
  </si>
  <si>
    <t>heat_pump_T_in__°C</t>
  </si>
  <si>
    <t>='Heat Recovery'!$H$66</t>
  </si>
  <si>
    <t>heat_pump_T_out__°C</t>
  </si>
  <si>
    <t>='Heat Recovery'!$H$67</t>
  </si>
  <si>
    <t>heat_sink_calculated_flow_rate_gpm</t>
  </si>
  <si>
    <t>='Heat Recovery'!$B$74</t>
  </si>
  <si>
    <t>heat_sink_calculated_Time_minutes</t>
  </si>
  <si>
    <t>='Heat Recovery'!$B$73</t>
  </si>
  <si>
    <t>heat_sink_delta_T°F</t>
  </si>
  <si>
    <t>='Heat Recovery'!$B$71</t>
  </si>
  <si>
    <t>heat_sink_Flow_rate__gpm</t>
  </si>
  <si>
    <t>='Heat Recovery'!$B$30</t>
  </si>
  <si>
    <t>heat_sink_Flow_Rate__lpm</t>
  </si>
  <si>
    <t>='Heat Recovery'!$B$75</t>
  </si>
  <si>
    <t>heat_sink_Hot_Water_Volume__bbl</t>
  </si>
  <si>
    <t>='Heat Recovery'!$B$28</t>
  </si>
  <si>
    <t>heat_sink_Mass_flow__kg_s</t>
  </si>
  <si>
    <t>='Heat Recovery'!$B$77</t>
  </si>
  <si>
    <t>heat_sink_Q_in__kW__kJ_s</t>
  </si>
  <si>
    <t>='Heat Recovery'!$B$78</t>
  </si>
  <si>
    <t>Heat_sink_Temp_in</t>
  </si>
  <si>
    <t>='Heat Recovery'!$B$66</t>
  </si>
  <si>
    <t>Heat_sink_Temp_out</t>
  </si>
  <si>
    <t>='Heat Recovery'!$B$68</t>
  </si>
  <si>
    <t>heat_sink_Total_Energy__kJ</t>
  </si>
  <si>
    <t>='Heat Recovery'!$B$79</t>
  </si>
  <si>
    <t>heat_sink_total_mass_kg</t>
  </si>
  <si>
    <t>='Heat Recovery'!$B$76</t>
  </si>
  <si>
    <t>heat_sink_total_volume_bbl</t>
  </si>
  <si>
    <t>='Heat Recovery'!$B$72</t>
  </si>
  <si>
    <t>heat_sinkdelta_T</t>
  </si>
  <si>
    <t>='Heat Recovery'!$B$70</t>
  </si>
  <si>
    <t>heat_source_Ending_Energy</t>
  </si>
  <si>
    <t>='Heat Recovery'!$E$70</t>
  </si>
  <si>
    <t>heat_source_Ending_Temperature__°C</t>
  </si>
  <si>
    <t>='Heat Recovery'!$E$71</t>
  </si>
  <si>
    <t>heat_source_Ending_Temperature__°F</t>
  </si>
  <si>
    <t>='Heat Recovery'!$E$72</t>
  </si>
  <si>
    <t>heat_source_Starting_energy</t>
  </si>
  <si>
    <t>='Heat Recovery'!$E$69</t>
  </si>
  <si>
    <t>heat_source_T_in__°C</t>
  </si>
  <si>
    <t>='Heat Recovery'!$E$66</t>
  </si>
  <si>
    <t>heat_source_Total_Mass__kg</t>
  </si>
  <si>
    <t>='Heat Recovery'!$E$68</t>
  </si>
  <si>
    <t>Heating_Desired_Water_Temperature__°F</t>
  </si>
  <si>
    <t>='Heat Recovery'!$B$24</t>
  </si>
  <si>
    <t>Heating_Starting_Water_Temperature__°F</t>
  </si>
  <si>
    <t>='Heat Recovery'!$B$23</t>
  </si>
  <si>
    <t>='Heat Recovery'!$B$40</t>
  </si>
  <si>
    <t>Temperature_Difference__°F</t>
  </si>
  <si>
    <t>='Heat Recovery'!$B$25</t>
  </si>
  <si>
    <t>Time__minutes</t>
  </si>
  <si>
    <t>='Heat Recovery'!$B$29</t>
  </si>
  <si>
    <t>W_in__kW</t>
  </si>
  <si>
    <t>='Heat Recovery'!$H$70</t>
  </si>
  <si>
    <t>Sheet</t>
  </si>
  <si>
    <t>Section</t>
  </si>
  <si>
    <t>Table</t>
  </si>
  <si>
    <t>Units</t>
  </si>
  <si>
    <t>Values used for calculations</t>
  </si>
  <si>
    <t>System Performance Assumptions</t>
  </si>
  <si>
    <t>Delta_T_Approach</t>
  </si>
  <si>
    <t>The approach temperature for the heat pump working fluid</t>
  </si>
  <si>
    <t>Kelvin</t>
  </si>
  <si>
    <t>Actual COP %</t>
  </si>
  <si>
    <t>Factor used to reduce ideal COP to estimated COP</t>
  </si>
  <si>
    <t>Steam System Efficiency</t>
  </si>
  <si>
    <t>Estimated efficiency of a steam system from generation through delivery to end use</t>
  </si>
  <si>
    <t>Estimated boiler efficiency for steam generation</t>
  </si>
  <si>
    <t>CO2 emissions per mega watt hour of electrical energy</t>
  </si>
  <si>
    <t>kg CO2/MWh</t>
  </si>
  <si>
    <t>CO2 emissions per kilowatt hour of electrical energy</t>
  </si>
  <si>
    <t>CO2 emissions per million British Thermal Units of Natural gas</t>
  </si>
  <si>
    <t>kg CO2/mmBTU</t>
  </si>
  <si>
    <t>CO2 emissions per therm of natural gas</t>
  </si>
  <si>
    <t>kg CO2/therm</t>
  </si>
  <si>
    <t>Electricity Cost per kilowatt hour for California</t>
  </si>
  <si>
    <t>$</t>
  </si>
  <si>
    <t>Natural gas cost per thousand cubic feet for California</t>
  </si>
  <si>
    <t>Natural gas cost per therm for California</t>
  </si>
  <si>
    <t>Conversions</t>
  </si>
  <si>
    <t>Converting between Celsius and Kelvin</t>
  </si>
  <si>
    <t>N/A</t>
  </si>
  <si>
    <t>Converting between Fahrenheit and Rankine</t>
  </si>
  <si>
    <t>Converting between liters and gallons</t>
  </si>
  <si>
    <t>Converting between liters and barrels</t>
  </si>
  <si>
    <t>Converting between gallons and barrels</t>
  </si>
  <si>
    <t>Converting between British thermal units and kilowatt hours</t>
  </si>
  <si>
    <t>Converting between kilowatt hours and therms</t>
  </si>
  <si>
    <t>Converting between British thermal units and therms</t>
  </si>
  <si>
    <t>Converting between kilojoules and kilowatt hours</t>
  </si>
  <si>
    <t>Converting between kilojoules and therms</t>
  </si>
  <si>
    <t>BTUh per boiler hp</t>
  </si>
  <si>
    <t>Converting between British thermal units per hour and boiler horsepower</t>
  </si>
  <si>
    <t>BTU per kJ</t>
  </si>
  <si>
    <t>Converting between British thermal units per hour and kilojoules</t>
  </si>
  <si>
    <t>Converting between boiler horsepower and kilowatts</t>
  </si>
  <si>
    <t>Converting between kilowatt hours and British thermal units</t>
  </si>
  <si>
    <t>Converting between kilowatts in one hour to kilowatt hours</t>
  </si>
  <si>
    <t>Converting between therms and thousand cubic feet of natural gas</t>
  </si>
  <si>
    <t>Converting between kilojoule and kilowatt hour</t>
  </si>
  <si>
    <t>Isobaric specific heat of water</t>
  </si>
  <si>
    <t>kJ/kg*K</t>
  </si>
  <si>
    <t>Density of water at 68°F</t>
  </si>
  <si>
    <t>lb/gal</t>
  </si>
  <si>
    <t>Water Heater Inputs</t>
  </si>
  <si>
    <t>Water Heater Size</t>
  </si>
  <si>
    <t>Size of existing water heater</t>
  </si>
  <si>
    <t>kBTU</t>
  </si>
  <si>
    <t>Water heater efficiency</t>
  </si>
  <si>
    <t>Efficiency of the existing water heater</t>
  </si>
  <si>
    <t>Heat Pump Water heater COP</t>
  </si>
  <si>
    <t>Coefficient of performance for the heat pump water heater under consideration</t>
  </si>
  <si>
    <t>Calculator Inputs</t>
  </si>
  <si>
    <t>Production Data</t>
  </si>
  <si>
    <t>Annual Hours of operation</t>
  </si>
  <si>
    <t>Annual operational hours of existing heat pump water heater</t>
  </si>
  <si>
    <t>hours</t>
  </si>
  <si>
    <t>Annual Production</t>
  </si>
  <si>
    <t>Annual beer production</t>
  </si>
  <si>
    <t>Barrels</t>
  </si>
  <si>
    <t>Per Barrel Outputs</t>
  </si>
  <si>
    <t>Energy Use per Barrel of water heated</t>
  </si>
  <si>
    <t>Energy used per barrel of water heated in therms or kWh depending on technology type</t>
  </si>
  <si>
    <t>therms/kWh</t>
  </si>
  <si>
    <t>Cost per Barrel of water heated</t>
  </si>
  <si>
    <t xml:space="preserve">Cost of energy per barrel of water heated </t>
  </si>
  <si>
    <t>$/barrel</t>
  </si>
  <si>
    <t>Annual Outputs</t>
  </si>
  <si>
    <t>Annual Estimate Energy</t>
  </si>
  <si>
    <t>Annual estimate of energy used from inputted annual production data</t>
  </si>
  <si>
    <t>Calculator Outputs</t>
  </si>
  <si>
    <t>Energy used per batch of water heated</t>
  </si>
  <si>
    <t>Estimated CO2 emissions from the consumption of each energy type per batch of water heated</t>
  </si>
  <si>
    <t>kg CO2</t>
  </si>
  <si>
    <t xml:space="preserve">Energy Cost </t>
  </si>
  <si>
    <t>Estimated cost of the energy used per batch for each technology type</t>
  </si>
  <si>
    <t>$/therm or $/kWh</t>
  </si>
  <si>
    <t>Boiler Inputs</t>
  </si>
  <si>
    <t>Boiler Size</t>
  </si>
  <si>
    <t>Size of existing boiler</t>
  </si>
  <si>
    <t>Boiler Horsepower</t>
  </si>
  <si>
    <t>Coefficient of performance for the steam generating heat pump under consideration</t>
  </si>
  <si>
    <t>therms/barrel or kWh/barrel</t>
  </si>
  <si>
    <t>$/batch</t>
  </si>
  <si>
    <t>Water Heating Temperatures</t>
  </si>
  <si>
    <t>Starting Water Temperature (°F)</t>
  </si>
  <si>
    <t>Starting temperature of water to be heated</t>
  </si>
  <si>
    <t>Fahrenheit</t>
  </si>
  <si>
    <t>Desired Water Temperature (°F)</t>
  </si>
  <si>
    <t>Desired temperature of water when heating is completed</t>
  </si>
  <si>
    <t>Water Heating Volume and Time</t>
  </si>
  <si>
    <t>Hot water Volume</t>
  </si>
  <si>
    <t>Volume of water to be heated from starting temperature to desired temperature</t>
  </si>
  <si>
    <t>Time</t>
  </si>
  <si>
    <t>Desired duration of heating</t>
  </si>
  <si>
    <t>Minutes</t>
  </si>
  <si>
    <t>Annual production of brewery</t>
  </si>
  <si>
    <t>Water Cooling Temperature and Volume</t>
  </si>
  <si>
    <t>Strating water temperature (°F)</t>
  </si>
  <si>
    <t>Starting temperature of water to be cooled</t>
  </si>
  <si>
    <t>Cooled Water Volume (bbl)</t>
  </si>
  <si>
    <t>Volume of water to be cooled</t>
  </si>
  <si>
    <t>therms or kWh</t>
  </si>
  <si>
    <t>Annual Estimate Cost</t>
  </si>
  <si>
    <t>Estimate of annual energy cost from inputted annual production data</t>
  </si>
  <si>
    <t>Per Batch Outputs</t>
  </si>
  <si>
    <t>Heat Sink</t>
  </si>
  <si>
    <t>T_in</t>
  </si>
  <si>
    <t>Temperature of incoming water to be heated</t>
  </si>
  <si>
    <t>Celsius or Fahrenheit</t>
  </si>
  <si>
    <t>T_out</t>
  </si>
  <si>
    <t>Temperature of incoming water after heating</t>
  </si>
  <si>
    <t>delta_T</t>
  </si>
  <si>
    <t>Difference between water temperature after heating and before heating</t>
  </si>
  <si>
    <t>Total_Volume</t>
  </si>
  <si>
    <t>Total volume of water being heated</t>
  </si>
  <si>
    <t>Total time for volume of water to be heated</t>
  </si>
  <si>
    <t>Flow rate</t>
  </si>
  <si>
    <t>Volumetric flowrate of water to be heated</t>
  </si>
  <si>
    <t>gpm or lpm</t>
  </si>
  <si>
    <t>Total Mass</t>
  </si>
  <si>
    <t>Total mass of water to be heated</t>
  </si>
  <si>
    <t>kg</t>
  </si>
  <si>
    <t>Mass_flow</t>
  </si>
  <si>
    <t>Mass flow rate of water to be heated</t>
  </si>
  <si>
    <t>kg/s</t>
  </si>
  <si>
    <t>Q_in</t>
  </si>
  <si>
    <t>Energy input into the water to be heated to desired temperature</t>
  </si>
  <si>
    <t>kW</t>
  </si>
  <si>
    <t>Total Energy</t>
  </si>
  <si>
    <t>Total energy required to heat the volume of water from incoming temperature to desired temperature</t>
  </si>
  <si>
    <t>kJ</t>
  </si>
  <si>
    <t>Heat Source</t>
  </si>
  <si>
    <t>Incoming temperature of water to be cooled</t>
  </si>
  <si>
    <t>Flowrate</t>
  </si>
  <si>
    <t>Volumetric flowrate of water to be cooled</t>
  </si>
  <si>
    <t>gpm</t>
  </si>
  <si>
    <t>Total mass of water to be cooled</t>
  </si>
  <si>
    <t>Starting Energy</t>
  </si>
  <si>
    <t>Total energy of mass of water to be cooled at starting temperature</t>
  </si>
  <si>
    <t>Ending Energy</t>
  </si>
  <si>
    <t>Total energy of mass of water to be cooled after energy for heating water has been extracted</t>
  </si>
  <si>
    <t>Ending Temperature</t>
  </si>
  <si>
    <t>Final temperature of water to be cooled after energy for heating water has been extracted</t>
  </si>
  <si>
    <t>Inlet temperature of heat recovery chiller working fluid</t>
  </si>
  <si>
    <t>Celsius</t>
  </si>
  <si>
    <t>Outlet temperature of heat recovery chiller working fluid</t>
  </si>
  <si>
    <t>COP_ideal</t>
  </si>
  <si>
    <t>Ideal Coefficient of performance using working fluid temperatures</t>
  </si>
  <si>
    <t>Estimated Coefficient of performance after accounting for below ideal equipment performance</t>
  </si>
  <si>
    <t>W_in</t>
  </si>
  <si>
    <t>Electrical power input into the heat recovery chiller</t>
  </si>
  <si>
    <t>Q_out</t>
  </si>
  <si>
    <t>Power out of the heat recovery chiller from the cooled water to the heated water</t>
  </si>
  <si>
    <t>Load Estimate (Read Instructions in Cells A21 and D21)</t>
  </si>
  <si>
    <t>Equipment average load estimate (meter data)</t>
  </si>
  <si>
    <t>Equipment average load estimate (bill data)</t>
  </si>
  <si>
    <t>Gas Meter Start Reading</t>
  </si>
  <si>
    <t>Bill Hours of Runtime</t>
  </si>
  <si>
    <t>Starting Time</t>
  </si>
  <si>
    <t>Monthly gas use (therms)</t>
  </si>
  <si>
    <t>Gas Meter End Reading</t>
  </si>
  <si>
    <t>Percent of Monthly Gas Use</t>
  </si>
  <si>
    <t>Ending Time</t>
  </si>
  <si>
    <t>Monthly gas use kBTU</t>
  </si>
  <si>
    <t xml:space="preserve">Billing Factor </t>
  </si>
  <si>
    <t>Average hourly gas use</t>
  </si>
  <si>
    <t>Hours of Operation</t>
  </si>
  <si>
    <t>Boiler output kBTU/hour</t>
  </si>
  <si>
    <t>Energy Use (therms)</t>
  </si>
  <si>
    <t>Average Load estimate (bill data)</t>
  </si>
  <si>
    <t>Energy Use (kBTU/hour)</t>
  </si>
  <si>
    <t>Boiler Output (kBTU/hour)</t>
  </si>
  <si>
    <t>Average Load Estimate (meter data)</t>
  </si>
  <si>
    <t>Equipment Data</t>
  </si>
  <si>
    <t>Water Heater size kBTU</t>
  </si>
  <si>
    <t>Water Heater Efficiency</t>
  </si>
  <si>
    <t>Heat Pump COP</t>
  </si>
  <si>
    <t>Average Load Calculation Source</t>
  </si>
  <si>
    <t>Average Load (%)</t>
  </si>
  <si>
    <t>Hourly Impacts</t>
  </si>
  <si>
    <t>Annual &amp; Per Barrel Estimates</t>
  </si>
  <si>
    <t>Per Barrel Impacts</t>
  </si>
  <si>
    <t>Annual Impacts</t>
  </si>
  <si>
    <t>Miscellaneous Heat Pump Assumptions</t>
  </si>
  <si>
    <t>Water Heater size converted to kW</t>
  </si>
  <si>
    <t>Water Heater Useful Output (kW)</t>
  </si>
  <si>
    <t>Estimated Heat Pump Input (kW)</t>
  </si>
  <si>
    <t>Water Heater output (kJ) per hour</t>
  </si>
  <si>
    <t>Estimated hours of boiler run time of the month</t>
  </si>
  <si>
    <t>Hours of Steam Boiler Operation</t>
  </si>
  <si>
    <t>Annual Production (BBL)</t>
  </si>
  <si>
    <t>Estimated Hourly Impacts</t>
  </si>
  <si>
    <t>Miscellaneous Assumptions and Variables</t>
  </si>
  <si>
    <t>Miscellaneous Heat Pump and Boiler Assumptions</t>
  </si>
  <si>
    <t>Boiler Size Converted to kW</t>
  </si>
  <si>
    <t>Boiler Useful Output (kW)</t>
  </si>
  <si>
    <t>Heat Pump Input Required (kW)</t>
  </si>
  <si>
    <t>Boiler Size kJ/hr</t>
  </si>
  <si>
    <t>Calculated Ending Water Temperature (°F)</t>
  </si>
  <si>
    <t>Hot Water Volume (bbl)</t>
  </si>
  <si>
    <t>Per Batch Impacts</t>
  </si>
  <si>
    <t>Steam Boiler</t>
  </si>
  <si>
    <t>Annual Emission Estimate</t>
  </si>
  <si>
    <t>T_in (°C)</t>
  </si>
  <si>
    <t>T_in (°F)</t>
  </si>
  <si>
    <t>Flow_Rate (gpm)</t>
  </si>
  <si>
    <t>T_out (°C)</t>
  </si>
  <si>
    <t>Total Mass (kg)</t>
  </si>
  <si>
    <t>T_out (°F)</t>
  </si>
  <si>
    <t>Starting energy (kJ)</t>
  </si>
  <si>
    <t>delta_T (°C)</t>
  </si>
  <si>
    <t>Ending Energy (kJ)</t>
  </si>
  <si>
    <t>W_in (kW)</t>
  </si>
  <si>
    <t>delta_T (°F)</t>
  </si>
  <si>
    <t>Ending Temperature (°C)</t>
  </si>
  <si>
    <t>Q_out (kW)</t>
  </si>
  <si>
    <t>Total Volume (bbl)</t>
  </si>
  <si>
    <t>Ending Temperature (°F)</t>
  </si>
  <si>
    <t>Flow_Rate (lpm)</t>
  </si>
  <si>
    <t>Mass_flow (kg/s)</t>
  </si>
  <si>
    <t>Q_in (kW (kJ/s))</t>
  </si>
  <si>
    <t>Total Energy (kJ)</t>
  </si>
  <si>
    <t>Estimated Savings and Paybacks for Energy Efficiency Measures</t>
  </si>
  <si>
    <t>Primary Energy/Measure</t>
  </si>
  <si>
    <t>Payback</t>
  </si>
  <si>
    <t>Savings</t>
  </si>
  <si>
    <t>(Process specific)</t>
  </si>
  <si>
    <t>(Years)</t>
  </si>
  <si>
    <t>kBTU/Barrel</t>
  </si>
  <si>
    <t>Boilers and Steam Distribution</t>
  </si>
  <si>
    <t>Maintenance</t>
  </si>
  <si>
    <t>&lt;1</t>
  </si>
  <si>
    <t>Improved process control</t>
  </si>
  <si>
    <t xml:space="preserve">Flue gas heat recovery </t>
  </si>
  <si>
    <t>&gt;3</t>
  </si>
  <si>
    <t>Blowdown steam recovery</t>
  </si>
  <si>
    <t>2 to 3</t>
  </si>
  <si>
    <t>Steam trap maintenance</t>
  </si>
  <si>
    <t>Automatic steam trap monitoring</t>
  </si>
  <si>
    <t>Leak repair</t>
  </si>
  <si>
    <t>Condensate return</t>
  </si>
  <si>
    <t>&gt;1</t>
  </si>
  <si>
    <t>19 to 21</t>
  </si>
  <si>
    <t>Insulation of steam pipes</t>
  </si>
  <si>
    <t>6 to 28</t>
  </si>
  <si>
    <t>Process integration</t>
  </si>
  <si>
    <t>47 to 84</t>
  </si>
  <si>
    <t xml:space="preserve">Motors and Systems using Motors </t>
  </si>
  <si>
    <t>Variable speed drives</t>
  </si>
  <si>
    <t>6 to 25</t>
  </si>
  <si>
    <t>Downsizing</t>
  </si>
  <si>
    <t>1 to 2</t>
  </si>
  <si>
    <t>High efficiency</t>
  </si>
  <si>
    <t>Refrigeration and Cooling</t>
  </si>
  <si>
    <t>Better matching of cooling capacity and loads</t>
  </si>
  <si>
    <t>Improved operation of ammonia cooling system</t>
  </si>
  <si>
    <t>&lt;1 to 2</t>
  </si>
  <si>
    <t>Improved operations and maintenance</t>
  </si>
  <si>
    <t>System modifications and improved design</t>
  </si>
  <si>
    <t>&lt;3</t>
  </si>
  <si>
    <t>5 to 8</t>
  </si>
  <si>
    <t>Insulation of cooling lines</t>
  </si>
  <si>
    <t>n/a</t>
  </si>
  <si>
    <t xml:space="preserve">limited data </t>
  </si>
  <si>
    <t>Other Utilities</t>
  </si>
  <si>
    <t>Lighting</t>
  </si>
  <si>
    <t>&lt;2 to 3</t>
  </si>
  <si>
    <t>2 to 6</t>
  </si>
  <si>
    <t>Reduce space heating demand</t>
  </si>
  <si>
    <t>Membrane filtration wastewater</t>
  </si>
  <si>
    <t>&lt;5</t>
  </si>
  <si>
    <t>Control and monitoring systems</t>
  </si>
  <si>
    <t>&lt;1 to 5</t>
  </si>
  <si>
    <t>&lt;1 to 37</t>
  </si>
  <si>
    <t>Mashing and Lauter Tun</t>
  </si>
  <si>
    <t>Waste heat recovery</t>
  </si>
  <si>
    <t>Use of compression filter</t>
  </si>
  <si>
    <t>Wort Boiling and Cooling</t>
  </si>
  <si>
    <t>Vapor condensers</t>
  </si>
  <si>
    <t>&lt;2 to 5</t>
  </si>
  <si>
    <t>&lt;1 to 22</t>
  </si>
  <si>
    <t>Thermal vapor recompression</t>
  </si>
  <si>
    <t>&gt;2</t>
  </si>
  <si>
    <t>16 to 18</t>
  </si>
  <si>
    <t>Mechanical vapor recompression</t>
  </si>
  <si>
    <t>High gravity brewing</t>
  </si>
  <si>
    <t>13 to 22</t>
  </si>
  <si>
    <t>Low pressure wort boiling</t>
  </si>
  <si>
    <t>32 to 40</t>
  </si>
  <si>
    <t>Wort stripping</t>
  </si>
  <si>
    <t>20 to 42</t>
  </si>
  <si>
    <t>Wort cooling</t>
  </si>
  <si>
    <t>Fermentation</t>
  </si>
  <si>
    <t>Immobilized yeast fermenter</t>
  </si>
  <si>
    <t>Heat recovery</t>
  </si>
  <si>
    <t>New CO2 recovery systems</t>
  </si>
  <si>
    <t>Processing</t>
  </si>
  <si>
    <t>Microfiltration</t>
  </si>
  <si>
    <t>2 to 4</t>
  </si>
  <si>
    <t>Membranes</t>
  </si>
  <si>
    <t>Heat recovery-pasteurization</t>
  </si>
  <si>
    <t>Flash pasteurization</t>
  </si>
  <si>
    <t>6 to 14</t>
  </si>
  <si>
    <t>Packaging</t>
  </si>
  <si>
    <t>Heat recovery washing</t>
  </si>
  <si>
    <t>Cleaning improvements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</si>
</sst>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_(&quot;$&quot;* \(#,##0.00\);_(&quot;$&quot;* &quot;-&quot;??_);_(@_)"/>
    <numFmt numFmtId="43" formatCode="_(* #,##0.00_);_(* \(#,##0.00\);_(* &quot;-&quot;??_);_(@_)"/>
    <numFmt numFmtId="164" formatCode="_(* #,##0_);_(* \(#,##0\);_(* &quot;-&quot;??_);_(@_)"/>
    <numFmt numFmtId="165" formatCode="0.0%"/>
    <numFmt numFmtId="166" formatCode="_(* #,##0.0_);_(* \(#,##0.0\);_(* &quot;-&quot;??_);_(@_)"/>
    <numFmt numFmtId="167" formatCode="0.0"/>
    <numFmt numFmtId="168" formatCode="#.##\ &quot;Therm&quot;"/>
    <numFmt numFmtId="169" formatCode="#.##\ &quot;kWh&quot;"/>
    <numFmt numFmtId="170" formatCode="#.#\ &quot;kWh&quot;"/>
    <numFmt numFmtId="171" formatCode="#.#\ &quot;Therm&quot;"/>
    <numFmt numFmtId="172" formatCode="_(&quot;$&quot;* #,##0.000_);_(&quot;$&quot;* \(#,##0.000\);_(&quot;$&quot;* &quot;-&quot;??_);_(@_)"/>
    <numFmt numFmtId="173" formatCode="#,###\ &quot;Therm&quot;"/>
    <numFmt numFmtId="174" formatCode="#,###\ &quot;kWh&quot;"/>
    <numFmt numFmtId="175" formatCode="0.00\ \°\F"/>
    <numFmt numFmtId="176" formatCode="##\ &quot;BBL&quot;"/>
    <numFmt numFmtId="177" formatCode="##.#\ \°\F"/>
    <numFmt numFmtId="178" formatCode="#\ &quot;Therm&quot;"/>
    <numFmt numFmtId="179" formatCode="#\ &quot;kWh&quot;"/>
    <numFmt numFmtId="180" formatCode="_(&quot;$&quot;* #,##0_);_(&quot;$&quot;* \(#,##0\);_(&quot;$&quot;* &quot;-&quot;??_);_(@_)"/>
    <numFmt numFmtId="181" formatCode="#.0\ &quot;kWh&quot;"/>
  </numFmts>
  <fonts count="56">
    <font>
      <sz val="11"/>
      <color theme="1"/>
      <name val="Calibri"/>
      <family val="2"/>
      <scheme val="minor"/>
    </font>
    <font>
      <sz val="11"/>
      <color theme="1"/>
      <name val="Calibri"/>
      <family val="2"/>
      <scheme val="minor"/>
    </font>
    <font>
      <b/>
      <sz val="13"/>
      <color theme="3"/>
      <name val="Calibri"/>
      <family val="2"/>
      <scheme val="minor"/>
    </font>
    <font>
      <sz val="11"/>
      <color rgb="FF3F3F76"/>
      <name val="Calibri"/>
      <family val="2"/>
      <scheme val="minor"/>
    </font>
    <font>
      <b/>
      <sz val="11"/>
      <color rgb="FF3F3F3F"/>
      <name val="Calibri"/>
      <family val="2"/>
      <scheme val="minor"/>
    </font>
    <font>
      <sz val="11"/>
      <color rgb="FF006100"/>
      <name val="Calibri"/>
      <family val="2"/>
      <scheme val="minor"/>
    </font>
    <font>
      <sz val="11"/>
      <color theme="0"/>
      <name val="Calibri"/>
      <family val="2"/>
      <scheme val="minor"/>
    </font>
    <font>
      <sz val="14"/>
      <color theme="0"/>
      <name val="Franklin Gothic Book"/>
      <family val="2"/>
    </font>
    <font>
      <sz val="16"/>
      <color theme="0"/>
      <name val="Franklin Gothic Book"/>
      <family val="2"/>
    </font>
    <font>
      <sz val="26"/>
      <color theme="0"/>
      <name val="Franklin Gothic Book"/>
      <family val="2"/>
    </font>
    <font>
      <b/>
      <sz val="26"/>
      <color theme="0"/>
      <name val="Franklin Gothic Book"/>
      <family val="2"/>
    </font>
    <font>
      <sz val="14"/>
      <name val="Franklin Gothic Book"/>
      <family val="2"/>
    </font>
    <font>
      <sz val="11"/>
      <color theme="1"/>
      <name val="Franklin Gothic Book"/>
      <family val="2"/>
    </font>
    <font>
      <b/>
      <sz val="15"/>
      <color theme="3"/>
      <name val="Calibri"/>
      <family val="2"/>
      <scheme val="minor"/>
    </font>
    <font>
      <b/>
      <sz val="11"/>
      <color theme="3"/>
      <name val="Calibri"/>
      <family val="2"/>
      <scheme val="minor"/>
    </font>
    <font>
      <sz val="12"/>
      <color theme="1"/>
      <name val="Franklin Gothic Book"/>
      <family val="2"/>
    </font>
    <font>
      <sz val="18"/>
      <color theme="1"/>
      <name val="Franklin Gothic Book"/>
      <family val="2"/>
    </font>
    <font>
      <b/>
      <sz val="11"/>
      <color theme="1"/>
      <name val="Franklin Gothic Book"/>
      <family val="2"/>
    </font>
    <font>
      <sz val="11"/>
      <name val="Franklin Gothic Book"/>
      <family val="2"/>
    </font>
    <font>
      <sz val="11"/>
      <color rgb="FF006100"/>
      <name val="Franklin Gothic Book"/>
      <family val="2"/>
    </font>
    <font>
      <b/>
      <sz val="11"/>
      <color rgb="FF3F3F3F"/>
      <name val="Franklin Gothic Book"/>
      <family val="2"/>
    </font>
    <font>
      <sz val="11"/>
      <color rgb="FF3F3F76"/>
      <name val="Franklin Gothic Book"/>
      <family val="2"/>
    </font>
    <font>
      <b/>
      <sz val="12"/>
      <color theme="1"/>
      <name val="Franklin Gothic Book"/>
      <family val="2"/>
    </font>
    <font>
      <sz val="11"/>
      <color rgb="FF3F3F3F"/>
      <name val="Franklin Gothic Book"/>
      <family val="2"/>
    </font>
    <font>
      <sz val="11"/>
      <color theme="0"/>
      <name val="Franklin Gothic Book"/>
      <family val="2"/>
    </font>
    <font>
      <b/>
      <sz val="36"/>
      <color theme="1"/>
      <name val="Franklin Gothic Book"/>
      <family val="2"/>
    </font>
    <font>
      <b/>
      <sz val="15"/>
      <color theme="3"/>
      <name val="Franklin Gothic Book"/>
      <family val="2"/>
    </font>
    <font>
      <b/>
      <sz val="13"/>
      <color theme="3"/>
      <name val="Franklin Gothic Book"/>
      <family val="2"/>
    </font>
    <font>
      <b/>
      <sz val="11"/>
      <color theme="3"/>
      <name val="Franklin Gothic Book"/>
      <family val="2"/>
    </font>
    <font>
      <b/>
      <sz val="11"/>
      <color theme="0"/>
      <name val="Franklin Gothic Book"/>
      <family val="2"/>
    </font>
    <font>
      <b/>
      <sz val="18"/>
      <color theme="3"/>
      <name val="Franklin Gothic Book"/>
      <family val="2"/>
    </font>
    <font>
      <b/>
      <sz val="18"/>
      <name val="Franklin Gothic Book"/>
      <family val="2"/>
    </font>
    <font>
      <b/>
      <sz val="48"/>
      <color rgb="FF00B050"/>
      <name val="Franklin Gothic Book"/>
      <family val="2"/>
    </font>
    <font>
      <b/>
      <sz val="48"/>
      <name val="Franklin Gothic Book"/>
      <family val="2"/>
    </font>
    <font>
      <b/>
      <sz val="48"/>
      <color theme="5"/>
      <name val="Franklin Gothic Book"/>
      <family val="2"/>
    </font>
    <font>
      <u/>
      <sz val="11"/>
      <color theme="10"/>
      <name val="Calibri"/>
      <family val="2"/>
      <scheme val="minor"/>
    </font>
    <font>
      <b/>
      <sz val="14"/>
      <color theme="1"/>
      <name val="Franklin Gothic Book"/>
      <family val="2"/>
    </font>
    <font>
      <sz val="16"/>
      <color theme="1"/>
      <name val="Franklin Gothic Book"/>
      <family val="2"/>
    </font>
    <font>
      <b/>
      <sz val="16"/>
      <color theme="3"/>
      <name val="Franklin Gothic Book"/>
      <family val="2"/>
    </font>
    <font>
      <b/>
      <u/>
      <sz val="11"/>
      <color theme="0"/>
      <name val="Franklin Gothic Book"/>
      <family val="2"/>
    </font>
    <font>
      <u/>
      <sz val="11"/>
      <color theme="0"/>
      <name val="Franklin Gothic Book"/>
      <family val="2"/>
    </font>
    <font>
      <sz val="11"/>
      <color rgb="FF9C5700"/>
      <name val="Calibri"/>
      <family val="2"/>
      <scheme val="minor"/>
    </font>
    <font>
      <u/>
      <sz val="11"/>
      <color theme="10"/>
      <name val="Dubai"/>
      <family val="2"/>
    </font>
    <font>
      <sz val="11"/>
      <color theme="1"/>
      <name val="Dubai"/>
      <family val="2"/>
    </font>
    <font>
      <sz val="11"/>
      <color theme="0"/>
      <name val="Dubai"/>
      <family val="2"/>
    </font>
    <font>
      <b/>
      <sz val="18"/>
      <color theme="5"/>
      <name val="Franklin Gothic Book"/>
      <family val="2"/>
    </font>
    <font>
      <b/>
      <sz val="18"/>
      <color rgb="FF7030A0"/>
      <name val="Franklin Gothic Book"/>
      <family val="2"/>
    </font>
    <font>
      <b/>
      <sz val="18"/>
      <color rgb="FFFF0000"/>
      <name val="Franklin Gothic Book"/>
      <family val="2"/>
    </font>
    <font>
      <sz val="11"/>
      <color rgb="FF9C5700"/>
      <name val="Franklin Gothic Book"/>
      <family val="2"/>
    </font>
    <font>
      <sz val="20"/>
      <color theme="3"/>
      <name val="Franklin Gothic Book"/>
      <family val="2"/>
    </font>
    <font>
      <b/>
      <sz val="20"/>
      <color theme="3"/>
      <name val="Calibri"/>
      <family val="2"/>
      <scheme val="minor"/>
    </font>
    <font>
      <b/>
      <sz val="11"/>
      <name val="Franklin Gothic Book"/>
      <family val="2"/>
    </font>
    <font>
      <b/>
      <sz val="13"/>
      <name val="Franklin Gothic Book"/>
      <family val="2"/>
    </font>
    <font>
      <sz val="22"/>
      <color rgb="FF002060"/>
      <name val="Franklin Gothic Book"/>
      <family val="2"/>
    </font>
    <font>
      <sz val="16"/>
      <name val="Franklin Gothic Book"/>
      <family val="2"/>
    </font>
    <font>
      <sz val="8"/>
      <name val="Calibri"/>
      <family val="2"/>
      <scheme val="minor"/>
    </font>
  </fonts>
  <fills count="23">
    <fill>
      <patternFill patternType="none"/>
    </fill>
    <fill>
      <patternFill patternType="gray125"/>
    </fill>
    <fill>
      <patternFill patternType="solid">
        <fgColor rgb="FFFFCC99"/>
      </patternFill>
    </fill>
    <fill>
      <patternFill patternType="solid">
        <fgColor rgb="FFF2F2F2"/>
      </patternFill>
    </fill>
    <fill>
      <patternFill patternType="solid">
        <fgColor rgb="FFC6EFCE"/>
      </patternFill>
    </fill>
    <fill>
      <patternFill patternType="solid">
        <fgColor rgb="FF002060"/>
        <bgColor indexed="64"/>
      </patternFill>
    </fill>
    <fill>
      <patternFill patternType="solid">
        <fgColor theme="1"/>
        <bgColor indexed="64"/>
      </patternFill>
    </fill>
    <fill>
      <patternFill patternType="solid">
        <fgColor theme="0"/>
        <bgColor indexed="64"/>
      </patternFill>
    </fill>
    <fill>
      <patternFill patternType="solid">
        <fgColor theme="6" tint="0.39997558519241921"/>
        <bgColor indexed="64"/>
      </patternFill>
    </fill>
    <fill>
      <patternFill patternType="solid">
        <fgColor theme="8"/>
        <bgColor indexed="64"/>
      </patternFill>
    </fill>
    <fill>
      <patternFill patternType="solid">
        <fgColor theme="5"/>
        <bgColor indexed="64"/>
      </patternFill>
    </fill>
    <fill>
      <patternFill patternType="solid">
        <fgColor rgb="FF7030A0"/>
        <bgColor indexed="64"/>
      </patternFill>
    </fill>
    <fill>
      <patternFill patternType="solid">
        <fgColor rgb="FF00B0F0"/>
        <bgColor indexed="64"/>
      </patternFill>
    </fill>
    <fill>
      <patternFill patternType="solid">
        <fgColor rgb="FF00B050"/>
        <bgColor indexed="64"/>
      </patternFill>
    </fill>
    <fill>
      <patternFill patternType="solid">
        <fgColor rgb="FFFF00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EB9C"/>
      </patternFill>
    </fill>
    <fill>
      <patternFill patternType="solid">
        <fgColor theme="0" tint="-0.249977111117893"/>
        <bgColor indexed="64"/>
      </patternFill>
    </fill>
    <fill>
      <patternFill patternType="solid">
        <fgColor theme="7" tint="0.79998168889431442"/>
        <bgColor indexed="64"/>
      </patternFill>
    </fill>
    <fill>
      <patternFill patternType="solid">
        <fgColor rgb="FF0070C0"/>
        <bgColor indexed="64"/>
      </patternFill>
    </fill>
    <fill>
      <patternFill patternType="solid">
        <fgColor theme="7" tint="0.59999389629810485"/>
        <bgColor indexed="64"/>
      </patternFill>
    </fill>
    <fill>
      <patternFill patternType="solid">
        <fgColor theme="5" tint="0.59999389629810485"/>
        <bgColor indexed="64"/>
      </patternFill>
    </fill>
  </fills>
  <borders count="20">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3" fillId="2" borderId="2" applyNumberFormat="0" applyAlignment="0" applyProtection="0"/>
    <xf numFmtId="0" fontId="4" fillId="3" borderId="3" applyNumberFormat="0" applyAlignment="0" applyProtection="0"/>
    <xf numFmtId="0" fontId="5" fillId="4"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35" fillId="0" borderId="0" applyNumberFormat="0" applyFill="0" applyBorder="0" applyAlignment="0" applyProtection="0"/>
    <xf numFmtId="0" fontId="41" fillId="17" borderId="0" applyNumberFormat="0" applyBorder="0" applyAlignment="0" applyProtection="0"/>
  </cellStyleXfs>
  <cellXfs count="259">
    <xf numFmtId="0" fontId="0" fillId="0" borderId="0" xfId="0"/>
    <xf numFmtId="0" fontId="0" fillId="6" borderId="0" xfId="0" applyFill="1"/>
    <xf numFmtId="0" fontId="7" fillId="5" borderId="0" xfId="0" applyFont="1" applyFill="1"/>
    <xf numFmtId="0" fontId="0" fillId="7" borderId="0" xfId="0" applyFill="1"/>
    <xf numFmtId="0" fontId="10" fillId="6" borderId="0" xfId="0" applyFont="1" applyFill="1"/>
    <xf numFmtId="0" fontId="9" fillId="6" borderId="0" xfId="0" applyFont="1" applyFill="1"/>
    <xf numFmtId="0" fontId="8" fillId="6" borderId="0" xfId="0" applyFont="1" applyFill="1"/>
    <xf numFmtId="0" fontId="6" fillId="7" borderId="0" xfId="0" applyFont="1" applyFill="1"/>
    <xf numFmtId="0" fontId="11" fillId="7" borderId="0" xfId="0" applyFont="1" applyFill="1"/>
    <xf numFmtId="0" fontId="12" fillId="7" borderId="0" xfId="0" applyFont="1" applyFill="1"/>
    <xf numFmtId="0" fontId="12" fillId="0" borderId="0" xfId="0" applyFont="1"/>
    <xf numFmtId="0" fontId="12" fillId="6" borderId="0" xfId="0" applyFont="1" applyFill="1"/>
    <xf numFmtId="0" fontId="16" fillId="7" borderId="0" xfId="0" applyFont="1" applyFill="1"/>
    <xf numFmtId="0" fontId="17" fillId="7" borderId="0" xfId="0" applyFont="1" applyFill="1" applyAlignment="1">
      <alignment horizontal="left"/>
    </xf>
    <xf numFmtId="0" fontId="12" fillId="7" borderId="0" xfId="0" applyFont="1" applyFill="1" applyAlignment="1">
      <alignment horizontal="left"/>
    </xf>
    <xf numFmtId="0" fontId="17" fillId="7" borderId="0" xfId="0" applyFont="1" applyFill="1" applyAlignment="1">
      <alignment horizontal="right"/>
    </xf>
    <xf numFmtId="0" fontId="17" fillId="7" borderId="0" xfId="0" applyFont="1" applyFill="1"/>
    <xf numFmtId="43" fontId="17" fillId="7" borderId="0" xfId="1" applyFont="1" applyFill="1" applyAlignment="1">
      <alignment horizontal="right"/>
    </xf>
    <xf numFmtId="43" fontId="12" fillId="7" borderId="0" xfId="1" applyFont="1" applyFill="1"/>
    <xf numFmtId="43" fontId="17" fillId="7" borderId="0" xfId="1" applyFont="1" applyFill="1" applyAlignment="1">
      <alignment horizontal="left"/>
    </xf>
    <xf numFmtId="164" fontId="12" fillId="7" borderId="0" xfId="1" applyNumberFormat="1" applyFont="1" applyFill="1"/>
    <xf numFmtId="0" fontId="12" fillId="7" borderId="0" xfId="0" applyFont="1" applyFill="1" applyAlignment="1">
      <alignment horizontal="right"/>
    </xf>
    <xf numFmtId="0" fontId="12" fillId="7" borderId="0" xfId="0" applyFont="1" applyFill="1" applyAlignment="1">
      <alignment horizontal="center"/>
    </xf>
    <xf numFmtId="0" fontId="15" fillId="7" borderId="0" xfId="0" applyFont="1" applyFill="1"/>
    <xf numFmtId="164" fontId="12" fillId="7" borderId="6" xfId="0" applyNumberFormat="1" applyFont="1" applyFill="1" applyBorder="1"/>
    <xf numFmtId="0" fontId="12" fillId="7" borderId="6" xfId="0" applyFont="1" applyFill="1" applyBorder="1" applyAlignment="1">
      <alignment horizontal="left"/>
    </xf>
    <xf numFmtId="0" fontId="17" fillId="7" borderId="6" xfId="0" applyFont="1" applyFill="1" applyBorder="1" applyAlignment="1">
      <alignment horizontal="left"/>
    </xf>
    <xf numFmtId="0" fontId="12" fillId="0" borderId="6" xfId="0" applyFont="1" applyBorder="1" applyAlignment="1">
      <alignment horizontal="left"/>
    </xf>
    <xf numFmtId="0" fontId="17" fillId="7" borderId="6" xfId="0" applyFont="1" applyFill="1" applyBorder="1" applyAlignment="1">
      <alignment horizontal="right"/>
    </xf>
    <xf numFmtId="43" fontId="17" fillId="7" borderId="6" xfId="1" applyFont="1" applyFill="1" applyBorder="1" applyAlignment="1">
      <alignment horizontal="left"/>
    </xf>
    <xf numFmtId="44" fontId="12" fillId="12" borderId="6" xfId="0" applyNumberFormat="1" applyFont="1" applyFill="1" applyBorder="1"/>
    <xf numFmtId="0" fontId="12" fillId="7" borderId="6" xfId="0" applyFont="1" applyFill="1" applyBorder="1"/>
    <xf numFmtId="164" fontId="12" fillId="7" borderId="6" xfId="1" applyNumberFormat="1" applyFont="1" applyFill="1" applyBorder="1"/>
    <xf numFmtId="2" fontId="12" fillId="7" borderId="6" xfId="0" applyNumberFormat="1" applyFont="1" applyFill="1" applyBorder="1"/>
    <xf numFmtId="43" fontId="21" fillId="7" borderId="6" xfId="1" applyFont="1" applyFill="1" applyBorder="1"/>
    <xf numFmtId="0" fontId="24" fillId="5" borderId="0" xfId="0" applyFont="1" applyFill="1"/>
    <xf numFmtId="43" fontId="17" fillId="7" borderId="6" xfId="1" applyFont="1" applyFill="1" applyBorder="1" applyAlignment="1">
      <alignment horizontal="right"/>
    </xf>
    <xf numFmtId="0" fontId="18" fillId="7" borderId="0" xfId="7" applyFont="1" applyFill="1" applyBorder="1" applyProtection="1">
      <protection locked="0"/>
    </xf>
    <xf numFmtId="0" fontId="7" fillId="5" borderId="6" xfId="0" applyFont="1" applyFill="1" applyBorder="1"/>
    <xf numFmtId="0" fontId="25" fillId="7" borderId="0" xfId="0" applyFont="1" applyFill="1" applyAlignment="1">
      <alignment horizontal="center"/>
    </xf>
    <xf numFmtId="43" fontId="17" fillId="7" borderId="0" xfId="1" applyFont="1" applyFill="1"/>
    <xf numFmtId="44" fontId="12" fillId="7" borderId="0" xfId="2" applyFont="1" applyFill="1"/>
    <xf numFmtId="167" fontId="12" fillId="7" borderId="0" xfId="0" applyNumberFormat="1" applyFont="1" applyFill="1"/>
    <xf numFmtId="0" fontId="26" fillId="7" borderId="0" xfId="8" applyFont="1" applyFill="1" applyBorder="1" applyAlignment="1">
      <alignment horizontal="center"/>
    </xf>
    <xf numFmtId="0" fontId="26" fillId="7" borderId="0" xfId="8" applyFont="1" applyFill="1" applyBorder="1" applyAlignment="1"/>
    <xf numFmtId="0" fontId="26" fillId="7" borderId="0" xfId="8" applyFont="1" applyFill="1" applyBorder="1" applyAlignment="1">
      <alignment horizontal="left"/>
    </xf>
    <xf numFmtId="0" fontId="27" fillId="7" borderId="0" xfId="4" applyFont="1" applyFill="1" applyBorder="1"/>
    <xf numFmtId="0" fontId="7" fillId="5" borderId="8" xfId="0" applyFont="1" applyFill="1" applyBorder="1"/>
    <xf numFmtId="0" fontId="29" fillId="5" borderId="0" xfId="0" applyFont="1" applyFill="1"/>
    <xf numFmtId="0" fontId="29" fillId="5" borderId="0" xfId="0" applyFont="1" applyFill="1" applyAlignment="1">
      <alignment horizontal="right"/>
    </xf>
    <xf numFmtId="0" fontId="30" fillId="7" borderId="0" xfId="8" applyFont="1" applyFill="1" applyBorder="1" applyAlignment="1">
      <alignment horizontal="left"/>
    </xf>
    <xf numFmtId="0" fontId="31" fillId="7" borderId="0" xfId="8" applyFont="1" applyFill="1" applyBorder="1" applyAlignment="1">
      <alignment horizontal="center"/>
    </xf>
    <xf numFmtId="167" fontId="12" fillId="7" borderId="6" xfId="0" applyNumberFormat="1" applyFont="1" applyFill="1" applyBorder="1"/>
    <xf numFmtId="0" fontId="24" fillId="5" borderId="6" xfId="0" applyFont="1" applyFill="1" applyBorder="1"/>
    <xf numFmtId="166" fontId="21" fillId="7" borderId="6" xfId="5" applyNumberFormat="1" applyFont="1" applyFill="1" applyBorder="1"/>
    <xf numFmtId="168" fontId="12" fillId="12" borderId="6" xfId="0" applyNumberFormat="1" applyFont="1" applyFill="1" applyBorder="1"/>
    <xf numFmtId="169" fontId="12" fillId="12" borderId="6" xfId="0" applyNumberFormat="1" applyFont="1" applyFill="1" applyBorder="1"/>
    <xf numFmtId="170" fontId="12" fillId="12" borderId="6" xfId="0" applyNumberFormat="1" applyFont="1" applyFill="1" applyBorder="1"/>
    <xf numFmtId="0" fontId="17" fillId="0" borderId="0" xfId="0" applyFont="1" applyAlignment="1">
      <alignment horizontal="right"/>
    </xf>
    <xf numFmtId="0" fontId="16" fillId="7" borderId="0" xfId="0" applyFont="1" applyFill="1" applyAlignment="1">
      <alignment horizontal="left"/>
    </xf>
    <xf numFmtId="0" fontId="36" fillId="7" borderId="0" xfId="0" applyFont="1" applyFill="1"/>
    <xf numFmtId="0" fontId="12" fillId="15" borderId="6" xfId="0" applyFont="1" applyFill="1" applyBorder="1"/>
    <xf numFmtId="0" fontId="27" fillId="7" borderId="1" xfId="4" applyFont="1" applyFill="1" applyAlignment="1"/>
    <xf numFmtId="43" fontId="17" fillId="7" borderId="0" xfId="1" applyFont="1" applyFill="1" applyAlignment="1">
      <alignment horizontal="center"/>
    </xf>
    <xf numFmtId="0" fontId="19" fillId="7" borderId="0" xfId="7" applyFont="1" applyFill="1"/>
    <xf numFmtId="0" fontId="20" fillId="7" borderId="3" xfId="6" applyFont="1" applyFill="1"/>
    <xf numFmtId="0" fontId="12" fillId="0" borderId="0" xfId="0" applyFont="1" applyAlignment="1">
      <alignment horizontal="right"/>
    </xf>
    <xf numFmtId="43" fontId="12" fillId="0" borderId="0" xfId="1" applyFont="1"/>
    <xf numFmtId="44" fontId="23" fillId="12" borderId="6" xfId="2" applyFont="1" applyFill="1" applyBorder="1"/>
    <xf numFmtId="0" fontId="30" fillId="7" borderId="4" xfId="8" applyFont="1" applyFill="1" applyAlignment="1">
      <alignment horizontal="left"/>
    </xf>
    <xf numFmtId="43" fontId="17" fillId="0" borderId="0" xfId="1" applyFont="1" applyAlignment="1">
      <alignment horizontal="right"/>
    </xf>
    <xf numFmtId="0" fontId="30" fillId="7" borderId="4" xfId="8" applyFont="1" applyFill="1"/>
    <xf numFmtId="0" fontId="27" fillId="7" borderId="1" xfId="4" applyFont="1" applyFill="1"/>
    <xf numFmtId="0" fontId="37" fillId="7" borderId="0" xfId="0" applyFont="1" applyFill="1" applyAlignment="1">
      <alignment horizontal="left"/>
    </xf>
    <xf numFmtId="0" fontId="24" fillId="5" borderId="0" xfId="0" applyFont="1" applyFill="1" applyAlignment="1">
      <alignment horizontal="left"/>
    </xf>
    <xf numFmtId="9" fontId="12" fillId="7" borderId="6" xfId="3" applyFont="1" applyFill="1" applyBorder="1"/>
    <xf numFmtId="165" fontId="12" fillId="7" borderId="6" xfId="3" applyNumberFormat="1" applyFont="1" applyFill="1" applyBorder="1"/>
    <xf numFmtId="9" fontId="12" fillId="7" borderId="0" xfId="3" applyFont="1" applyFill="1"/>
    <xf numFmtId="0" fontId="9" fillId="7" borderId="0" xfId="0" applyFont="1" applyFill="1"/>
    <xf numFmtId="0" fontId="12" fillId="7" borderId="6" xfId="0" applyFont="1" applyFill="1" applyBorder="1" applyAlignment="1">
      <alignment horizontal="center"/>
    </xf>
    <xf numFmtId="0" fontId="12" fillId="7" borderId="6" xfId="0" applyFont="1" applyFill="1" applyBorder="1" applyAlignment="1">
      <alignment horizontal="center" vertical="center"/>
    </xf>
    <xf numFmtId="2" fontId="12" fillId="7" borderId="0" xfId="0" applyNumberFormat="1" applyFont="1" applyFill="1"/>
    <xf numFmtId="43" fontId="12" fillId="7" borderId="0" xfId="0" applyNumberFormat="1" applyFont="1" applyFill="1"/>
    <xf numFmtId="2" fontId="12" fillId="7" borderId="0" xfId="0" applyNumberFormat="1" applyFont="1" applyFill="1" applyAlignment="1">
      <alignment horizontal="left"/>
    </xf>
    <xf numFmtId="1" fontId="12" fillId="7" borderId="6" xfId="0" applyNumberFormat="1" applyFont="1" applyFill="1" applyBorder="1"/>
    <xf numFmtId="164" fontId="21" fillId="7" borderId="6" xfId="1" applyNumberFormat="1" applyFont="1" applyFill="1" applyBorder="1"/>
    <xf numFmtId="44" fontId="12" fillId="16" borderId="6" xfId="2" applyFont="1" applyFill="1" applyBorder="1" applyAlignment="1">
      <alignment horizontal="right"/>
    </xf>
    <xf numFmtId="172" fontId="12" fillId="16" borderId="6" xfId="2" applyNumberFormat="1" applyFont="1" applyFill="1" applyBorder="1" applyAlignment="1">
      <alignment horizontal="right"/>
    </xf>
    <xf numFmtId="0" fontId="38" fillId="7" borderId="4" xfId="8" applyFont="1" applyFill="1"/>
    <xf numFmtId="0" fontId="26" fillId="7" borderId="4" xfId="8" applyFont="1" applyFill="1"/>
    <xf numFmtId="0" fontId="38" fillId="7" borderId="1" xfId="4" applyFont="1" applyFill="1" applyAlignment="1"/>
    <xf numFmtId="0" fontId="38" fillId="7" borderId="1" xfId="4" applyFont="1" applyFill="1"/>
    <xf numFmtId="0" fontId="26" fillId="7" borderId="4" xfId="8" applyFont="1" applyFill="1" applyAlignment="1"/>
    <xf numFmtId="171" fontId="18" fillId="12" borderId="7" xfId="1" applyNumberFormat="1" applyFont="1" applyFill="1" applyBorder="1"/>
    <xf numFmtId="44" fontId="18" fillId="12" borderId="7" xfId="2" applyFont="1" applyFill="1" applyBorder="1"/>
    <xf numFmtId="0" fontId="12" fillId="7" borderId="10" xfId="0" applyFont="1" applyFill="1" applyBorder="1" applyAlignment="1">
      <alignment horizontal="left"/>
    </xf>
    <xf numFmtId="2" fontId="12" fillId="7" borderId="10" xfId="0" applyNumberFormat="1" applyFont="1" applyFill="1" applyBorder="1"/>
    <xf numFmtId="0" fontId="36" fillId="7" borderId="0" xfId="0" applyFont="1" applyFill="1" applyAlignment="1">
      <alignment horizontal="left"/>
    </xf>
    <xf numFmtId="0" fontId="22" fillId="7" borderId="0" xfId="0" applyFont="1" applyFill="1"/>
    <xf numFmtId="43" fontId="12" fillId="7" borderId="0" xfId="1" applyFont="1" applyFill="1" applyAlignment="1">
      <alignment horizontal="left"/>
    </xf>
    <xf numFmtId="0" fontId="42" fillId="7" borderId="6" xfId="10" applyFont="1" applyFill="1" applyBorder="1"/>
    <xf numFmtId="0" fontId="43" fillId="7" borderId="0" xfId="0" applyFont="1" applyFill="1"/>
    <xf numFmtId="0" fontId="44" fillId="5" borderId="0" xfId="0" applyFont="1" applyFill="1"/>
    <xf numFmtId="0" fontId="43" fillId="7" borderId="6" xfId="0" applyFont="1" applyFill="1" applyBorder="1"/>
    <xf numFmtId="0" fontId="42" fillId="7" borderId="10" xfId="10" applyFont="1" applyFill="1" applyBorder="1"/>
    <xf numFmtId="43" fontId="17" fillId="7" borderId="0" xfId="0" applyNumberFormat="1" applyFont="1" applyFill="1" applyAlignment="1">
      <alignment horizontal="right"/>
    </xf>
    <xf numFmtId="43" fontId="29" fillId="5" borderId="0" xfId="0" applyNumberFormat="1" applyFont="1" applyFill="1" applyAlignment="1">
      <alignment horizontal="right"/>
    </xf>
    <xf numFmtId="43" fontId="29" fillId="5" borderId="6" xfId="0" applyNumberFormat="1" applyFont="1" applyFill="1" applyBorder="1"/>
    <xf numFmtId="43" fontId="29" fillId="5" borderId="6" xfId="0" applyNumberFormat="1" applyFont="1" applyFill="1" applyBorder="1" applyAlignment="1">
      <alignment horizontal="right"/>
    </xf>
    <xf numFmtId="43" fontId="26" fillId="7" borderId="4" xfId="8" applyNumberFormat="1" applyFont="1" applyFill="1" applyAlignment="1"/>
    <xf numFmtId="43" fontId="29" fillId="5" borderId="0" xfId="0" applyNumberFormat="1" applyFont="1" applyFill="1"/>
    <xf numFmtId="43" fontId="38" fillId="7" borderId="1" xfId="4" applyNumberFormat="1" applyFont="1" applyFill="1" applyAlignment="1"/>
    <xf numFmtId="43" fontId="38" fillId="7" borderId="1" xfId="4" applyNumberFormat="1" applyFont="1" applyFill="1" applyAlignment="1">
      <alignment horizontal="center"/>
    </xf>
    <xf numFmtId="43" fontId="24" fillId="5" borderId="0" xfId="0" applyNumberFormat="1" applyFont="1" applyFill="1"/>
    <xf numFmtId="43" fontId="12" fillId="7" borderId="0" xfId="2" applyNumberFormat="1" applyFont="1" applyFill="1"/>
    <xf numFmtId="43" fontId="24" fillId="5" borderId="6" xfId="0" applyNumberFormat="1" applyFont="1" applyFill="1" applyBorder="1"/>
    <xf numFmtId="0" fontId="45" fillId="7" borderId="0" xfId="8" applyFont="1" applyFill="1" applyBorder="1" applyAlignment="1">
      <alignment horizontal="center"/>
    </xf>
    <xf numFmtId="43" fontId="46" fillId="7" borderId="0" xfId="0" applyNumberFormat="1" applyFont="1" applyFill="1" applyAlignment="1">
      <alignment horizontal="center"/>
    </xf>
    <xf numFmtId="43" fontId="47" fillId="7" borderId="0" xfId="0" applyNumberFormat="1" applyFont="1" applyFill="1" applyAlignment="1">
      <alignment horizontal="center"/>
    </xf>
    <xf numFmtId="0" fontId="12" fillId="7" borderId="0" xfId="0" applyFont="1" applyFill="1" applyAlignment="1">
      <alignment wrapText="1"/>
    </xf>
    <xf numFmtId="0" fontId="9" fillId="6" borderId="0" xfId="0" applyFont="1" applyFill="1" applyAlignment="1">
      <alignment horizontal="center"/>
    </xf>
    <xf numFmtId="0" fontId="12" fillId="6" borderId="0" xfId="0" applyFont="1" applyFill="1" applyAlignment="1">
      <alignment horizontal="center"/>
    </xf>
    <xf numFmtId="0" fontId="13" fillId="0" borderId="4" xfId="8"/>
    <xf numFmtId="0" fontId="30" fillId="0" borderId="4" xfId="8" applyFont="1"/>
    <xf numFmtId="0" fontId="26" fillId="7" borderId="4" xfId="8" applyFont="1" applyFill="1" applyAlignment="1">
      <alignment horizontal="center"/>
    </xf>
    <xf numFmtId="0" fontId="12" fillId="0" borderId="0" xfId="0" applyFont="1" applyAlignment="1">
      <alignment horizontal="center"/>
    </xf>
    <xf numFmtId="0" fontId="24" fillId="5" borderId="17" xfId="0" applyFont="1" applyFill="1" applyBorder="1" applyAlignment="1">
      <alignment horizontal="center"/>
    </xf>
    <xf numFmtId="0" fontId="24" fillId="5" borderId="18" xfId="0" applyFont="1" applyFill="1" applyBorder="1" applyAlignment="1">
      <alignment horizontal="center"/>
    </xf>
    <xf numFmtId="0" fontId="24" fillId="5" borderId="19" xfId="0" applyFont="1" applyFill="1" applyBorder="1" applyAlignment="1">
      <alignment horizontal="center"/>
    </xf>
    <xf numFmtId="0" fontId="24" fillId="5" borderId="14" xfId="0" applyFont="1" applyFill="1" applyBorder="1" applyAlignment="1">
      <alignment horizontal="center"/>
    </xf>
    <xf numFmtId="0" fontId="24" fillId="5" borderId="15" xfId="0" applyFont="1" applyFill="1" applyBorder="1" applyAlignment="1">
      <alignment horizontal="center"/>
    </xf>
    <xf numFmtId="0" fontId="24" fillId="5" borderId="16" xfId="0" applyFont="1" applyFill="1" applyBorder="1" applyAlignment="1">
      <alignment horizontal="center"/>
    </xf>
    <xf numFmtId="2" fontId="12" fillId="7" borderId="6" xfId="1" applyNumberFormat="1" applyFont="1" applyFill="1" applyBorder="1"/>
    <xf numFmtId="0" fontId="49" fillId="7" borderId="0" xfId="0" applyFont="1" applyFill="1"/>
    <xf numFmtId="0" fontId="28" fillId="7" borderId="0" xfId="9" applyFont="1" applyFill="1" applyBorder="1" applyAlignment="1">
      <alignment horizontal="left"/>
    </xf>
    <xf numFmtId="0" fontId="7" fillId="7" borderId="0" xfId="0" applyFont="1" applyFill="1"/>
    <xf numFmtId="0" fontId="48" fillId="7" borderId="0" xfId="11" applyFont="1" applyFill="1" applyBorder="1" applyAlignment="1">
      <alignment horizontal="right"/>
    </xf>
    <xf numFmtId="0" fontId="19" fillId="7" borderId="0" xfId="7" applyFont="1" applyFill="1" applyBorder="1"/>
    <xf numFmtId="0" fontId="29" fillId="7" borderId="0" xfId="0" applyFont="1" applyFill="1"/>
    <xf numFmtId="0" fontId="29" fillId="7" borderId="0" xfId="0" applyFont="1" applyFill="1" applyAlignment="1">
      <alignment horizontal="right"/>
    </xf>
    <xf numFmtId="164" fontId="48" fillId="7" borderId="0" xfId="11" applyNumberFormat="1" applyFont="1" applyFill="1" applyBorder="1"/>
    <xf numFmtId="165" fontId="12" fillId="7" borderId="0" xfId="3" applyNumberFormat="1" applyFont="1" applyFill="1"/>
    <xf numFmtId="10" fontId="12" fillId="7" borderId="0" xfId="0" applyNumberFormat="1" applyFont="1" applyFill="1"/>
    <xf numFmtId="0" fontId="18" fillId="7" borderId="0" xfId="0" applyFont="1" applyFill="1"/>
    <xf numFmtId="9" fontId="12" fillId="7" borderId="0" xfId="0" applyNumberFormat="1" applyFont="1" applyFill="1"/>
    <xf numFmtId="9" fontId="12" fillId="21" borderId="6" xfId="3" applyFont="1" applyFill="1" applyBorder="1"/>
    <xf numFmtId="2" fontId="12" fillId="21" borderId="6" xfId="0" applyNumberFormat="1" applyFont="1" applyFill="1" applyBorder="1"/>
    <xf numFmtId="44" fontId="12" fillId="12" borderId="6" xfId="2" applyFont="1" applyFill="1" applyBorder="1"/>
    <xf numFmtId="43" fontId="18" fillId="12" borderId="6" xfId="1" applyFont="1" applyFill="1" applyBorder="1"/>
    <xf numFmtId="44" fontId="18" fillId="12" borderId="6" xfId="2" applyFont="1" applyFill="1" applyBorder="1"/>
    <xf numFmtId="43" fontId="17" fillId="7" borderId="0" xfId="1" applyFont="1" applyFill="1" applyBorder="1" applyAlignment="1">
      <alignment horizontal="left"/>
    </xf>
    <xf numFmtId="164" fontId="17" fillId="7" borderId="0" xfId="1" applyNumberFormat="1" applyFont="1" applyFill="1" applyBorder="1" applyAlignment="1">
      <alignment horizontal="left"/>
    </xf>
    <xf numFmtId="43" fontId="18" fillId="7" borderId="0" xfId="1" applyFont="1" applyFill="1" applyBorder="1"/>
    <xf numFmtId="164" fontId="18" fillId="7" borderId="0" xfId="1" applyNumberFormat="1" applyFont="1" applyFill="1" applyBorder="1"/>
    <xf numFmtId="173" fontId="12" fillId="12" borderId="6" xfId="0" applyNumberFormat="1" applyFont="1" applyFill="1" applyBorder="1"/>
    <xf numFmtId="174" fontId="12" fillId="12" borderId="6" xfId="0" applyNumberFormat="1" applyFont="1" applyFill="1" applyBorder="1"/>
    <xf numFmtId="177" fontId="12" fillId="12" borderId="6" xfId="0" applyNumberFormat="1" applyFont="1" applyFill="1" applyBorder="1"/>
    <xf numFmtId="178" fontId="12" fillId="12" borderId="6" xfId="0" applyNumberFormat="1" applyFont="1" applyFill="1" applyBorder="1"/>
    <xf numFmtId="180" fontId="18" fillId="12" borderId="6" xfId="2" applyNumberFormat="1" applyFont="1" applyFill="1" applyBorder="1"/>
    <xf numFmtId="164" fontId="18" fillId="12" borderId="6" xfId="1" applyNumberFormat="1" applyFont="1" applyFill="1" applyBorder="1"/>
    <xf numFmtId="44" fontId="23" fillId="7" borderId="0" xfId="2" applyFont="1" applyFill="1" applyBorder="1"/>
    <xf numFmtId="0" fontId="12" fillId="21" borderId="6" xfId="0" applyFont="1" applyFill="1" applyBorder="1"/>
    <xf numFmtId="0" fontId="12" fillId="22" borderId="6" xfId="0" applyFont="1" applyFill="1" applyBorder="1"/>
    <xf numFmtId="0" fontId="50" fillId="7" borderId="4" xfId="8" applyFont="1" applyFill="1"/>
    <xf numFmtId="9" fontId="17" fillId="22" borderId="6" xfId="3" applyFont="1" applyFill="1" applyBorder="1" applyAlignment="1">
      <alignment horizontal="right"/>
    </xf>
    <xf numFmtId="1" fontId="12" fillId="21" borderId="6" xfId="0" applyNumberFormat="1" applyFont="1" applyFill="1" applyBorder="1"/>
    <xf numFmtId="9" fontId="17" fillId="22" borderId="6" xfId="3" applyFont="1" applyFill="1" applyBorder="1"/>
    <xf numFmtId="175" fontId="18" fillId="22" borderId="6" xfId="6" applyNumberFormat="1" applyFont="1" applyFill="1" applyBorder="1"/>
    <xf numFmtId="0" fontId="17" fillId="7" borderId="6" xfId="0" applyFont="1" applyFill="1" applyBorder="1" applyAlignment="1">
      <alignment horizontal="right" wrapText="1"/>
    </xf>
    <xf numFmtId="180" fontId="12" fillId="12" borderId="6" xfId="2" applyNumberFormat="1" applyFont="1" applyFill="1" applyBorder="1"/>
    <xf numFmtId="0" fontId="51" fillId="7" borderId="6" xfId="0" applyFont="1" applyFill="1" applyBorder="1" applyAlignment="1">
      <alignment horizontal="right"/>
    </xf>
    <xf numFmtId="0" fontId="51" fillId="7" borderId="6" xfId="11" applyFont="1" applyFill="1" applyBorder="1" applyAlignment="1">
      <alignment horizontal="right"/>
    </xf>
    <xf numFmtId="178" fontId="18" fillId="12" borderId="6" xfId="0" applyNumberFormat="1" applyFont="1" applyFill="1" applyBorder="1"/>
    <xf numFmtId="43" fontId="18" fillId="7" borderId="0" xfId="1" applyFont="1" applyFill="1"/>
    <xf numFmtId="179" fontId="18" fillId="12" borderId="6" xfId="0" applyNumberFormat="1" applyFont="1" applyFill="1" applyBorder="1"/>
    <xf numFmtId="43" fontId="18" fillId="7" borderId="0" xfId="1" applyFont="1" applyFill="1" applyAlignment="1">
      <alignment horizontal="left"/>
    </xf>
    <xf numFmtId="43" fontId="51" fillId="7" borderId="0" xfId="1" applyFont="1" applyFill="1" applyAlignment="1">
      <alignment horizontal="center"/>
    </xf>
    <xf numFmtId="164" fontId="18" fillId="12" borderId="6" xfId="1" applyNumberFormat="1" applyFont="1" applyFill="1" applyBorder="1" applyAlignment="1">
      <alignment horizontal="right"/>
    </xf>
    <xf numFmtId="0" fontId="52" fillId="7" borderId="1" xfId="4" applyFont="1" applyFill="1" applyAlignment="1"/>
    <xf numFmtId="173" fontId="18" fillId="12" borderId="6" xfId="0" applyNumberFormat="1" applyFont="1" applyFill="1" applyBorder="1"/>
    <xf numFmtId="174" fontId="18" fillId="12" borderId="6" xfId="0" applyNumberFormat="1" applyFont="1" applyFill="1" applyBorder="1"/>
    <xf numFmtId="180" fontId="18" fillId="7" borderId="0" xfId="1" applyNumberFormat="1" applyFont="1" applyFill="1"/>
    <xf numFmtId="180" fontId="18" fillId="7" borderId="0" xfId="0" applyNumberFormat="1" applyFont="1" applyFill="1"/>
    <xf numFmtId="180" fontId="52" fillId="7" borderId="1" xfId="4" applyNumberFormat="1" applyFont="1" applyFill="1" applyAlignment="1"/>
    <xf numFmtId="180" fontId="51" fillId="7" borderId="0" xfId="1" applyNumberFormat="1" applyFont="1" applyFill="1" applyAlignment="1">
      <alignment horizontal="center"/>
    </xf>
    <xf numFmtId="43" fontId="51" fillId="7" borderId="6" xfId="1" applyFont="1" applyFill="1" applyBorder="1" applyAlignment="1">
      <alignment horizontal="left"/>
    </xf>
    <xf numFmtId="43" fontId="51" fillId="7" borderId="0" xfId="1" applyFont="1" applyFill="1" applyAlignment="1">
      <alignment horizontal="left"/>
    </xf>
    <xf numFmtId="0" fontId="51" fillId="7" borderId="0" xfId="0" applyFont="1" applyFill="1"/>
    <xf numFmtId="0" fontId="53" fillId="7" borderId="0" xfId="0" applyFont="1" applyFill="1"/>
    <xf numFmtId="0" fontId="8" fillId="5" borderId="6" xfId="0" applyFont="1" applyFill="1" applyBorder="1"/>
    <xf numFmtId="0" fontId="8" fillId="20" borderId="6" xfId="0" applyFont="1" applyFill="1" applyBorder="1"/>
    <xf numFmtId="0" fontId="54" fillId="0" borderId="6" xfId="0" applyFont="1" applyBorder="1"/>
    <xf numFmtId="0" fontId="37" fillId="13" borderId="6" xfId="0" applyFont="1" applyFill="1" applyBorder="1"/>
    <xf numFmtId="0" fontId="37" fillId="7" borderId="6" xfId="0" applyFont="1" applyFill="1" applyBorder="1"/>
    <xf numFmtId="0" fontId="54" fillId="8" borderId="6" xfId="0" applyFont="1" applyFill="1" applyBorder="1"/>
    <xf numFmtId="0" fontId="37" fillId="0" borderId="6" xfId="0" applyFont="1" applyBorder="1"/>
    <xf numFmtId="0" fontId="37" fillId="9" borderId="6" xfId="0" applyFont="1" applyFill="1" applyBorder="1"/>
    <xf numFmtId="0" fontId="37" fillId="14" borderId="6" xfId="0" applyFont="1" applyFill="1" applyBorder="1"/>
    <xf numFmtId="0" fontId="37" fillId="10" borderId="6" xfId="0" applyFont="1" applyFill="1" applyBorder="1"/>
    <xf numFmtId="0" fontId="37" fillId="11" borderId="6" xfId="0" applyFont="1" applyFill="1" applyBorder="1"/>
    <xf numFmtId="0" fontId="37" fillId="19" borderId="6" xfId="0" applyFont="1" applyFill="1" applyBorder="1"/>
    <xf numFmtId="0" fontId="30" fillId="7" borderId="1" xfId="4" applyFont="1" applyFill="1"/>
    <xf numFmtId="44" fontId="18" fillId="7" borderId="0" xfId="2" applyFont="1" applyFill="1" applyBorder="1"/>
    <xf numFmtId="164" fontId="12" fillId="12" borderId="6" xfId="1" applyNumberFormat="1" applyFont="1" applyFill="1" applyBorder="1"/>
    <xf numFmtId="166" fontId="18" fillId="12" borderId="7" xfId="1" applyNumberFormat="1" applyFont="1" applyFill="1" applyBorder="1"/>
    <xf numFmtId="171" fontId="12" fillId="12" borderId="6" xfId="0" applyNumberFormat="1" applyFont="1" applyFill="1" applyBorder="1"/>
    <xf numFmtId="181" fontId="12" fillId="12" borderId="6" xfId="0" applyNumberFormat="1" applyFont="1" applyFill="1" applyBorder="1"/>
    <xf numFmtId="166" fontId="18" fillId="12" borderId="6" xfId="1" applyNumberFormat="1" applyFont="1" applyFill="1" applyBorder="1"/>
    <xf numFmtId="44" fontId="19" fillId="4" borderId="6" xfId="7" applyNumberFormat="1" applyFont="1" applyBorder="1" applyAlignment="1" applyProtection="1">
      <alignment horizontal="left"/>
      <protection locked="0"/>
    </xf>
    <xf numFmtId="0" fontId="19" fillId="4" borderId="6" xfId="7" applyFont="1" applyBorder="1" applyProtection="1">
      <protection locked="0"/>
    </xf>
    <xf numFmtId="9" fontId="19" fillId="4" borderId="6" xfId="7" applyNumberFormat="1" applyFont="1" applyBorder="1" applyProtection="1">
      <protection locked="0"/>
    </xf>
    <xf numFmtId="1" fontId="19" fillId="4" borderId="6" xfId="3" applyNumberFormat="1" applyFont="1" applyFill="1" applyBorder="1" applyProtection="1">
      <protection locked="0"/>
    </xf>
    <xf numFmtId="9" fontId="19" fillId="4" borderId="6" xfId="3" applyFont="1" applyFill="1" applyBorder="1" applyProtection="1">
      <protection locked="0"/>
    </xf>
    <xf numFmtId="9" fontId="19" fillId="4" borderId="6" xfId="7" applyNumberFormat="1" applyFont="1" applyBorder="1" applyProtection="1"/>
    <xf numFmtId="0" fontId="12" fillId="15" borderId="6" xfId="0" applyFont="1" applyFill="1" applyBorder="1" applyProtection="1">
      <protection locked="0"/>
    </xf>
    <xf numFmtId="22" fontId="12" fillId="15" borderId="6" xfId="0" applyNumberFormat="1" applyFont="1" applyFill="1" applyBorder="1" applyProtection="1">
      <protection locked="0"/>
    </xf>
    <xf numFmtId="9" fontId="12" fillId="15" borderId="6" xfId="3" applyFont="1" applyFill="1" applyBorder="1" applyProtection="1">
      <protection locked="0"/>
    </xf>
    <xf numFmtId="9" fontId="12" fillId="15" borderId="6" xfId="0" applyNumberFormat="1" applyFont="1" applyFill="1" applyBorder="1" applyProtection="1">
      <protection locked="0"/>
    </xf>
    <xf numFmtId="9" fontId="12" fillId="15" borderId="6" xfId="3" applyFont="1" applyFill="1" applyBorder="1" applyAlignment="1" applyProtection="1">
      <protection locked="0"/>
    </xf>
    <xf numFmtId="0" fontId="18" fillId="15" borderId="6" xfId="7" applyFont="1" applyFill="1" applyBorder="1" applyProtection="1">
      <protection locked="0"/>
    </xf>
    <xf numFmtId="9" fontId="18" fillId="15" borderId="6" xfId="0" applyNumberFormat="1" applyFont="1" applyFill="1" applyBorder="1" applyProtection="1">
      <protection locked="0"/>
    </xf>
    <xf numFmtId="1" fontId="12" fillId="15" borderId="6" xfId="0" applyNumberFormat="1" applyFont="1" applyFill="1" applyBorder="1" applyProtection="1">
      <protection locked="0"/>
    </xf>
    <xf numFmtId="175" fontId="18" fillId="15" borderId="6" xfId="6" applyNumberFormat="1" applyFont="1" applyFill="1" applyBorder="1" applyProtection="1">
      <protection locked="0"/>
    </xf>
    <xf numFmtId="176" fontId="18" fillId="15" borderId="6" xfId="7" applyNumberFormat="1" applyFont="1" applyFill="1" applyBorder="1" applyProtection="1">
      <protection locked="0"/>
    </xf>
    <xf numFmtId="9" fontId="12" fillId="7" borderId="6" xfId="0" applyNumberFormat="1" applyFont="1" applyFill="1" applyBorder="1"/>
    <xf numFmtId="165" fontId="12" fillId="7" borderId="6" xfId="0" applyNumberFormat="1" applyFont="1" applyFill="1" applyBorder="1"/>
    <xf numFmtId="43" fontId="12" fillId="7" borderId="6" xfId="0" applyNumberFormat="1" applyFont="1" applyFill="1" applyBorder="1"/>
    <xf numFmtId="44" fontId="12" fillId="7" borderId="6" xfId="0" applyNumberFormat="1" applyFont="1" applyFill="1" applyBorder="1"/>
    <xf numFmtId="0" fontId="32" fillId="7" borderId="0" xfId="0" applyFont="1" applyFill="1" applyAlignment="1">
      <alignment horizontal="center"/>
    </xf>
    <xf numFmtId="0" fontId="33" fillId="7" borderId="0" xfId="0" applyFont="1" applyFill="1" applyAlignment="1">
      <alignment horizontal="center"/>
    </xf>
    <xf numFmtId="0" fontId="34" fillId="7" borderId="0" xfId="0" applyFont="1" applyFill="1" applyAlignment="1">
      <alignment horizontal="center"/>
    </xf>
    <xf numFmtId="0" fontId="24" fillId="7" borderId="0" xfId="0" applyFont="1" applyFill="1" applyAlignment="1">
      <alignment horizontal="center" wrapText="1"/>
    </xf>
    <xf numFmtId="0" fontId="37" fillId="7" borderId="8" xfId="0" applyFont="1" applyFill="1" applyBorder="1" applyAlignment="1">
      <alignment horizontal="center" vertical="center"/>
    </xf>
    <xf numFmtId="0" fontId="37" fillId="7" borderId="9" xfId="0" applyFont="1" applyFill="1" applyBorder="1" applyAlignment="1">
      <alignment horizontal="center" vertical="center"/>
    </xf>
    <xf numFmtId="0" fontId="37" fillId="7" borderId="10" xfId="0" applyFont="1" applyFill="1" applyBorder="1" applyAlignment="1">
      <alignment horizontal="center" vertical="center"/>
    </xf>
    <xf numFmtId="0" fontId="16" fillId="14" borderId="8" xfId="0" applyFont="1" applyFill="1" applyBorder="1" applyAlignment="1">
      <alignment horizontal="center" vertical="center" wrapText="1"/>
    </xf>
    <xf numFmtId="0" fontId="16" fillId="14" borderId="9" xfId="0" applyFont="1" applyFill="1" applyBorder="1" applyAlignment="1">
      <alignment horizontal="center" vertical="center" wrapText="1"/>
    </xf>
    <xf numFmtId="0" fontId="16" fillId="10" borderId="8" xfId="0" applyFont="1" applyFill="1" applyBorder="1" applyAlignment="1">
      <alignment horizontal="center" vertical="center"/>
    </xf>
    <xf numFmtId="0" fontId="16" fillId="10" borderId="9" xfId="0" applyFont="1" applyFill="1" applyBorder="1" applyAlignment="1">
      <alignment horizontal="center" vertical="center"/>
    </xf>
    <xf numFmtId="0" fontId="16" fillId="10" borderId="10" xfId="0" applyFont="1" applyFill="1" applyBorder="1" applyAlignment="1">
      <alignment horizontal="center" vertical="center"/>
    </xf>
    <xf numFmtId="0" fontId="16" fillId="11" borderId="8" xfId="0" applyFont="1" applyFill="1" applyBorder="1" applyAlignment="1">
      <alignment horizontal="center" vertical="center"/>
    </xf>
    <xf numFmtId="0" fontId="16" fillId="11" borderId="9" xfId="0" applyFont="1" applyFill="1" applyBorder="1" applyAlignment="1">
      <alignment horizontal="center" vertical="center"/>
    </xf>
    <xf numFmtId="0" fontId="16" fillId="11" borderId="10" xfId="0" applyFont="1" applyFill="1" applyBorder="1" applyAlignment="1">
      <alignment horizontal="center" vertical="center"/>
    </xf>
    <xf numFmtId="0" fontId="16" fillId="8" borderId="8" xfId="0" applyFont="1" applyFill="1" applyBorder="1" applyAlignment="1">
      <alignment horizontal="center" vertical="center"/>
    </xf>
    <xf numFmtId="0" fontId="16" fillId="8" borderId="9" xfId="0" applyFont="1" applyFill="1" applyBorder="1" applyAlignment="1">
      <alignment horizontal="center" vertical="center"/>
    </xf>
    <xf numFmtId="0" fontId="16" fillId="8" borderId="10" xfId="0" applyFont="1" applyFill="1" applyBorder="1" applyAlignment="1">
      <alignment horizontal="center" vertical="center"/>
    </xf>
    <xf numFmtId="0" fontId="37" fillId="7" borderId="8" xfId="0" applyFont="1" applyFill="1" applyBorder="1" applyAlignment="1">
      <alignment horizontal="center" vertical="center" wrapText="1"/>
    </xf>
    <xf numFmtId="0" fontId="37" fillId="7" borderId="9" xfId="0" applyFont="1" applyFill="1" applyBorder="1" applyAlignment="1">
      <alignment horizontal="center" vertical="center" wrapText="1"/>
    </xf>
    <xf numFmtId="0" fontId="37" fillId="7" borderId="10" xfId="0" applyFont="1" applyFill="1" applyBorder="1" applyAlignment="1">
      <alignment horizontal="center" vertical="center" wrapText="1"/>
    </xf>
    <xf numFmtId="0" fontId="12" fillId="7" borderId="8" xfId="0" applyFont="1" applyFill="1" applyBorder="1" applyAlignment="1">
      <alignment horizontal="center" vertical="center"/>
    </xf>
    <xf numFmtId="0" fontId="12" fillId="7" borderId="10" xfId="0" applyFont="1" applyFill="1" applyBorder="1" applyAlignment="1">
      <alignment horizontal="center" vertical="center"/>
    </xf>
    <xf numFmtId="0" fontId="12" fillId="7" borderId="9" xfId="0" applyFont="1" applyFill="1" applyBorder="1" applyAlignment="1">
      <alignment horizontal="center" vertical="center"/>
    </xf>
    <xf numFmtId="0" fontId="12" fillId="7" borderId="0" xfId="0" applyFont="1" applyFill="1" applyAlignment="1">
      <alignment horizontal="center"/>
    </xf>
    <xf numFmtId="0" fontId="12" fillId="18" borderId="11" xfId="0" applyFont="1" applyFill="1" applyBorder="1" applyAlignment="1">
      <alignment horizontal="center"/>
    </xf>
    <xf numFmtId="0" fontId="12" fillId="18" borderId="12" xfId="0" applyFont="1" applyFill="1" applyBorder="1" applyAlignment="1">
      <alignment horizontal="center"/>
    </xf>
    <xf numFmtId="0" fontId="12" fillId="18" borderId="13" xfId="0" applyFont="1" applyFill="1" applyBorder="1" applyAlignment="1">
      <alignment horizontal="center"/>
    </xf>
    <xf numFmtId="0" fontId="12" fillId="18" borderId="14" xfId="0" applyFont="1" applyFill="1" applyBorder="1" applyAlignment="1">
      <alignment horizontal="center"/>
    </xf>
    <xf numFmtId="0" fontId="12" fillId="18" borderId="15" xfId="0" applyFont="1" applyFill="1" applyBorder="1" applyAlignment="1">
      <alignment horizontal="center"/>
    </xf>
    <xf numFmtId="0" fontId="12" fillId="18" borderId="16" xfId="0" applyFont="1" applyFill="1" applyBorder="1" applyAlignment="1">
      <alignment horizontal="center"/>
    </xf>
  </cellXfs>
  <cellStyles count="12">
    <cellStyle name="Comma" xfId="1" builtinId="3"/>
    <cellStyle name="Currency" xfId="2" builtinId="4"/>
    <cellStyle name="Good" xfId="7" builtinId="26"/>
    <cellStyle name="Heading 1" xfId="8" builtinId="16"/>
    <cellStyle name="Heading 2" xfId="4" builtinId="17"/>
    <cellStyle name="Heading 3" xfId="9" builtinId="18"/>
    <cellStyle name="Hyperlink" xfId="10" builtinId="8"/>
    <cellStyle name="Input" xfId="5" builtinId="20"/>
    <cellStyle name="Neutral" xfId="11" builtinId="28"/>
    <cellStyle name="Normal" xfId="0" builtinId="0"/>
    <cellStyle name="Output" xfId="6" builtinId="21"/>
    <cellStyle name="Percent" xfId="3" builtinId="5"/>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Franklin Gothic Book"/>
        <family val="2"/>
        <scheme val="none"/>
      </font>
      <fill>
        <patternFill patternType="solid">
          <fgColor indexed="64"/>
          <bgColor theme="0"/>
        </patternFill>
      </fill>
    </dxf>
    <dxf>
      <font>
        <b val="0"/>
        <i val="0"/>
        <strike val="0"/>
        <condense val="0"/>
        <extend val="0"/>
        <outline val="0"/>
        <shadow val="0"/>
        <u val="none"/>
        <vertAlign val="baseline"/>
        <sz val="11"/>
        <color theme="1"/>
        <name val="Franklin Gothic Book"/>
        <family val="2"/>
        <scheme val="none"/>
      </font>
      <fill>
        <patternFill patternType="solid">
          <fgColor indexed="64"/>
          <bgColor theme="0"/>
        </patternFill>
      </fill>
    </dxf>
    <dxf>
      <font>
        <b val="0"/>
        <i val="0"/>
        <strike val="0"/>
        <condense val="0"/>
        <extend val="0"/>
        <outline val="0"/>
        <shadow val="0"/>
        <u val="none"/>
        <vertAlign val="baseline"/>
        <sz val="11"/>
        <color theme="1"/>
        <name val="Franklin Gothic Book"/>
        <family val="2"/>
        <scheme val="none"/>
      </font>
      <fill>
        <patternFill patternType="solid">
          <fgColor indexed="64"/>
          <bgColor theme="0"/>
        </patternFill>
      </fill>
    </dxf>
    <dxf>
      <font>
        <b val="0"/>
        <i val="0"/>
        <strike val="0"/>
        <condense val="0"/>
        <extend val="0"/>
        <outline val="0"/>
        <shadow val="0"/>
        <u val="none"/>
        <vertAlign val="baseline"/>
        <sz val="11"/>
        <color auto="1"/>
        <name val="Franklin Gothic Book"/>
        <family val="2"/>
        <scheme val="none"/>
      </font>
      <fill>
        <patternFill patternType="solid">
          <fgColor indexed="64"/>
          <bgColor theme="0"/>
        </patternFill>
      </fill>
    </dxf>
    <dxf>
      <font>
        <b val="0"/>
        <i val="0"/>
        <strike val="0"/>
        <condense val="0"/>
        <extend val="0"/>
        <outline val="0"/>
        <shadow val="0"/>
        <u val="none"/>
        <vertAlign val="baseline"/>
        <sz val="11"/>
        <color theme="1"/>
        <name val="Franklin Gothic Book"/>
        <family val="2"/>
        <scheme val="none"/>
      </font>
      <fill>
        <patternFill patternType="solid">
          <fgColor indexed="64"/>
          <bgColor theme="0"/>
        </patternFill>
      </fill>
    </dxf>
    <dxf>
      <font>
        <b val="0"/>
        <i val="0"/>
        <strike val="0"/>
        <condense val="0"/>
        <extend val="0"/>
        <outline val="0"/>
        <shadow val="0"/>
        <u val="none"/>
        <vertAlign val="baseline"/>
        <sz val="11"/>
        <color theme="1"/>
        <name val="Franklin Gothic Book"/>
        <family val="2"/>
        <scheme val="none"/>
      </font>
      <fill>
        <patternFill patternType="solid">
          <fgColor indexed="64"/>
          <bgColor theme="0"/>
        </patternFill>
      </fill>
    </dxf>
    <dxf>
      <font>
        <b val="0"/>
        <i val="0"/>
        <strike val="0"/>
        <condense val="0"/>
        <extend val="0"/>
        <outline val="0"/>
        <shadow val="0"/>
        <u val="none"/>
        <vertAlign val="baseline"/>
        <sz val="11"/>
        <color auto="1"/>
        <name val="Franklin Gothic Book"/>
        <family val="2"/>
        <scheme val="none"/>
      </font>
      <fill>
        <patternFill patternType="solid">
          <fgColor indexed="64"/>
          <bgColor theme="0"/>
        </patternFill>
      </fill>
    </dxf>
    <dxf>
      <font>
        <strike val="0"/>
        <color theme="0"/>
      </font>
      <fill>
        <patternFill>
          <bgColor rgb="FFFF0000"/>
        </patternFill>
      </fill>
    </dxf>
    <dxf>
      <font>
        <strike/>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png"/><Relationship Id="rId1" Type="http://schemas.openxmlformats.org/officeDocument/2006/relationships/hyperlink" Target="#'Figure 1'!A1"/><Relationship Id="rId5" Type="http://schemas.openxmlformats.org/officeDocument/2006/relationships/image" Target="../media/image3.png"/><Relationship Id="rId4" Type="http://schemas.openxmlformats.org/officeDocument/2006/relationships/hyperlink" Target="#'Figure 2'!A1"/></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troduction!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troduction!A1"/></Relationships>
</file>

<file path=xl/drawings/drawing1.xml><?xml version="1.0" encoding="utf-8"?>
<xdr:wsDr xmlns:xdr="http://schemas.openxmlformats.org/drawingml/2006/spreadsheetDrawing" xmlns:a="http://schemas.openxmlformats.org/drawingml/2006/main">
  <xdr:twoCellAnchor editAs="oneCell">
    <xdr:from>
      <xdr:col>1</xdr:col>
      <xdr:colOff>4143376</xdr:colOff>
      <xdr:row>0</xdr:row>
      <xdr:rowOff>47625</xdr:rowOff>
    </xdr:from>
    <xdr:to>
      <xdr:col>1</xdr:col>
      <xdr:colOff>7191376</xdr:colOff>
      <xdr:row>2</xdr:row>
      <xdr:rowOff>163322</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00776" y="47625"/>
          <a:ext cx="3044825" cy="811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539750</xdr:colOff>
      <xdr:row>4</xdr:row>
      <xdr:rowOff>19047</xdr:rowOff>
    </xdr:from>
    <xdr:to>
      <xdr:col>1</xdr:col>
      <xdr:colOff>10537031</xdr:colOff>
      <xdr:row>30</xdr:row>
      <xdr:rowOff>35719</xdr:rowOff>
    </xdr:to>
    <xdr:sp macro="" textlink="">
      <xdr:nvSpPr>
        <xdr:cNvPr id="284" name="TextBox 3">
          <a:extLst>
            <a:ext uri="{FF2B5EF4-FFF2-40B4-BE49-F238E27FC236}">
              <a16:creationId xmlns:a16="http://schemas.microsoft.com/office/drawing/2014/main" id="{00000000-0008-0000-0000-000011000000}"/>
            </a:ext>
          </a:extLst>
        </xdr:cNvPr>
        <xdr:cNvSpPr txBox="1"/>
      </xdr:nvSpPr>
      <xdr:spPr>
        <a:xfrm>
          <a:off x="539750" y="1078703"/>
          <a:ext cx="12057062" cy="5148266"/>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latin typeface="Franklin Gothic Book" panose="020B0503020102020204" pitchFamily="34" charset="0"/>
            </a:rPr>
            <a:t>What does the tool</a:t>
          </a:r>
          <a:r>
            <a:rPr lang="en-US" sz="1800" b="1" baseline="0">
              <a:latin typeface="Franklin Gothic Book" panose="020B0503020102020204" pitchFamily="34" charset="0"/>
            </a:rPr>
            <a:t> do?</a:t>
          </a:r>
          <a:endParaRPr lang="en-US" sz="1800" b="1">
            <a:latin typeface="Franklin Gothic Book" panose="020B0503020102020204" pitchFamily="34" charset="0"/>
          </a:endParaRPr>
        </a:p>
        <a:p>
          <a:r>
            <a:rPr lang="en-US" sz="1600">
              <a:latin typeface="Franklin Gothic Book" panose="020B0503020102020204" pitchFamily="34" charset="0"/>
            </a:rPr>
            <a:t>The</a:t>
          </a:r>
          <a:r>
            <a:rPr lang="en-US" sz="1600" baseline="0">
              <a:latin typeface="Franklin Gothic Book" panose="020B0503020102020204" pitchFamily="34" charset="0"/>
            </a:rPr>
            <a:t> Craft Brewery Industrial Heat Pump Screening tool is intended to inform interested parties about opportunities for incorporating heat pumps into brewery operations, and heat pump performance. The tool can also help understand the viability of potential industrial heat pump installations for small and medium business craft breweries. The tool will help the decision-makers understand the benefits of heat pumps, the estimated equipment operating energy and cost impacts involved with their specific brewery operations, and other options that they might have for energy efficiency. </a:t>
          </a:r>
        </a:p>
        <a:p>
          <a:endParaRPr lang="en-US" sz="1600" baseline="0">
            <a:latin typeface="Franklin Gothic Book" panose="020B0503020102020204" pitchFamily="34" charset="0"/>
          </a:endParaRPr>
        </a:p>
        <a:p>
          <a:r>
            <a:rPr lang="en-US" sz="1800" b="1" baseline="0">
              <a:latin typeface="Franklin Gothic Book" panose="020B0503020102020204" pitchFamily="34" charset="0"/>
            </a:rPr>
            <a:t>How is the tool used?</a:t>
          </a:r>
        </a:p>
        <a:p>
          <a:r>
            <a:rPr lang="en-US" sz="1600" i="0" baseline="0">
              <a:latin typeface="Franklin Gothic Book" panose="020B0503020102020204" pitchFamily="34" charset="0"/>
            </a:rPr>
            <a:t>The tool requires the user to input water temperatures, energy use and cost, volumes, and equipment efficiency where appropriate to calculate estimated energy use, emissions, and equipment energy costs for three different heat pump technologies. Start with the "Comparison Calculations" tab. If you have questions on any variables or assumptions, visit the reference and data dictionary tabs. For detailed calculations on specific technologies, visit each of the heat recovery, air source heat pump water heater (ASHPWH) and steam generating heat pump (SGHP) tabs. For best results, view this tool using a laptop or desktop computer. </a:t>
          </a:r>
        </a:p>
        <a:p>
          <a:endParaRPr lang="en-US" sz="1600" b="1">
            <a:latin typeface="Franklin Gothic Book" panose="020B0503020102020204" pitchFamily="34" charset="0"/>
          </a:endParaRPr>
        </a:p>
        <a:p>
          <a:r>
            <a:rPr lang="en-US" sz="1800" b="1">
              <a:latin typeface="Franklin Gothic Book" panose="020B0503020102020204" pitchFamily="34" charset="0"/>
            </a:rPr>
            <a:t>Who should use this tool?</a:t>
          </a:r>
        </a:p>
        <a:p>
          <a:r>
            <a:rPr lang="en-US" sz="1600" b="0">
              <a:solidFill>
                <a:sysClr val="windowText" lastClr="000000"/>
              </a:solidFill>
              <a:latin typeface="Franklin Gothic Book" panose="020B0503020102020204" pitchFamily="34" charset="0"/>
            </a:rPr>
            <a:t>All interested parties are encouraged</a:t>
          </a:r>
          <a:r>
            <a:rPr lang="en-US" sz="1600" b="0" baseline="0">
              <a:solidFill>
                <a:sysClr val="windowText" lastClr="000000"/>
              </a:solidFill>
              <a:latin typeface="Franklin Gothic Book" panose="020B0503020102020204" pitchFamily="34" charset="0"/>
            </a:rPr>
            <a:t> to use the tool to see the benefits of heat pump technology, but the tool is primarily designed for staff at craft breweries that have a strong understanding of their breweries facilities, operations, and energy usage. This tool only examines energy cost during operation, it does not include capital or other operations and maintenance costs.</a:t>
          </a:r>
        </a:p>
        <a:p>
          <a:endParaRPr lang="en-US" sz="1600" b="0" baseline="0">
            <a:solidFill>
              <a:sysClr val="windowText" lastClr="000000"/>
            </a:solidFill>
            <a:latin typeface="Franklin Gothic Book" panose="020B0503020102020204" pitchFamily="34" charset="0"/>
          </a:endParaRPr>
        </a:p>
        <a:p>
          <a:endParaRPr lang="en-US" sz="1600" b="0" baseline="0">
            <a:solidFill>
              <a:sysClr val="windowText" lastClr="000000"/>
            </a:solidFill>
            <a:latin typeface="Franklin Gothic Book" panose="020B0503020102020204" pitchFamily="34" charset="0"/>
          </a:endParaRPr>
        </a:p>
        <a:p>
          <a:r>
            <a:rPr lang="en-US" sz="1600" b="0" baseline="0">
              <a:solidFill>
                <a:sysClr val="windowText" lastClr="000000"/>
              </a:solidFill>
              <a:latin typeface="Franklin Gothic Book" panose="020B0503020102020204" pitchFamily="34" charset="0"/>
            </a:rPr>
            <a:t>Version 1.1 update: Reference Tab, Cell C19 changed from 499.30 to 241.175 to correctly use kg instead of pounds. </a:t>
          </a:r>
          <a:endParaRPr lang="en-US" sz="1600" b="0" baseline="0">
            <a:latin typeface="Franklin Gothic Book" panose="020B0503020102020204" pitchFamily="34" charset="0"/>
          </a:endParaRPr>
        </a:p>
      </xdr:txBody>
    </xdr:sp>
    <xdr:clientData/>
  </xdr:twoCellAnchor>
  <xdr:twoCellAnchor>
    <xdr:from>
      <xdr:col>1</xdr:col>
      <xdr:colOff>10639425</xdr:colOff>
      <xdr:row>4</xdr:row>
      <xdr:rowOff>28575</xdr:rowOff>
    </xdr:from>
    <xdr:to>
      <xdr:col>4</xdr:col>
      <xdr:colOff>3750469</xdr:colOff>
      <xdr:row>30</xdr:row>
      <xdr:rowOff>59531</xdr:rowOff>
    </xdr:to>
    <xdr:sp macro="" textlink="">
      <xdr:nvSpPr>
        <xdr:cNvPr id="3" name="TextBox 3">
          <a:extLst>
            <a:ext uri="{FF2B5EF4-FFF2-40B4-BE49-F238E27FC236}">
              <a16:creationId xmlns:a16="http://schemas.microsoft.com/office/drawing/2014/main" id="{EBD1B8C3-80D9-4893-AADF-9FD4CECF8F4C}"/>
            </a:ext>
            <a:ext uri="{147F2762-F138-4A5C-976F-8EAC2B608ADB}">
              <a16:predDERef xmlns:a16="http://schemas.microsoft.com/office/drawing/2014/main" pred="{00000000-0008-0000-0000-000011000000}"/>
            </a:ext>
          </a:extLst>
        </xdr:cNvPr>
        <xdr:cNvSpPr txBox="1"/>
      </xdr:nvSpPr>
      <xdr:spPr>
        <a:xfrm>
          <a:off x="12699206" y="1088231"/>
          <a:ext cx="7434263" cy="516255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latin typeface="Franklin Gothic Book" panose="020B0503020102020204" pitchFamily="34" charset="0"/>
            </a:rPr>
            <a:t>Disclaimer:</a:t>
          </a:r>
        </a:p>
        <a:p>
          <a:r>
            <a:rPr lang="en-US" sz="1600">
              <a:latin typeface="Franklin Gothic Book" panose="020B0503020102020204" pitchFamily="34" charset="0"/>
            </a:rPr>
            <a:t>This tool makes</a:t>
          </a:r>
          <a:r>
            <a:rPr lang="en-US" sz="1600" baseline="0">
              <a:latin typeface="Franklin Gothic Book" panose="020B0503020102020204" pitchFamily="34" charset="0"/>
            </a:rPr>
            <a:t> considerable simplifications about the operational performance of heat pumps to further the goal of informing a wide range of audiences on the general range of heat pump performance. Heat pump sizing and accompanying system design should be conducted by an experienced design professional familiar with brewery operations. Simplifications include but are not limited to: </a:t>
          </a:r>
        </a:p>
        <a:p>
          <a:endParaRPr lang="en-US" sz="1600" baseline="0">
            <a:latin typeface="Franklin Gothic Book" panose="020B0503020102020204" pitchFamily="34" charset="0"/>
          </a:endParaRPr>
        </a:p>
        <a:p>
          <a:r>
            <a:rPr lang="en-US" sz="1600" baseline="0">
              <a:latin typeface="Franklin Gothic Book" panose="020B0503020102020204" pitchFamily="34" charset="0"/>
            </a:rPr>
            <a:t>- Assumes heat pump operates at the user input COP, with no accounting for seasonal or other variations that will affect heat pump performance.</a:t>
          </a:r>
        </a:p>
        <a:p>
          <a:endParaRPr lang="en-US" sz="1600" baseline="0">
            <a:latin typeface="Franklin Gothic Book" panose="020B0503020102020204" pitchFamily="34" charset="0"/>
          </a:endParaRPr>
        </a:p>
        <a:p>
          <a:r>
            <a:rPr lang="en-US" sz="1600" b="0" baseline="0">
              <a:latin typeface="Franklin Gothic Book" panose="020B0503020102020204" pitchFamily="34" charset="0"/>
            </a:rPr>
            <a:t>-Assumes a 50% load factor for ASWHPWH and SGHP in the absence of actual energy use data in the tool</a:t>
          </a:r>
        </a:p>
        <a:p>
          <a:r>
            <a:rPr lang="en-US" sz="1600" b="0" baseline="0">
              <a:latin typeface="Franklin Gothic Book" panose="020B0503020102020204" pitchFamily="34" charset="0"/>
            </a:rPr>
            <a:t>	</a:t>
          </a:r>
        </a:p>
        <a:p>
          <a:r>
            <a:rPr lang="en-US" sz="1600" b="0" baseline="0">
              <a:latin typeface="Franklin Gothic Book" panose="020B0503020102020204" pitchFamily="34" charset="0"/>
            </a:rPr>
            <a:t>-Assumes energy costs based on EIA data. Users can adjust as needed in the Comparison Cals tab.</a:t>
          </a:r>
        </a:p>
        <a:p>
          <a:endParaRPr lang="en-US" sz="1600" b="0" baseline="0">
            <a:latin typeface="Franklin Gothic Book" panose="020B0503020102020204" pitchFamily="34" charset="0"/>
          </a:endParaRPr>
        </a:p>
        <a:p>
          <a:r>
            <a:rPr lang="en-US" sz="1600" b="0" baseline="0">
              <a:latin typeface="Franklin Gothic Book" panose="020B0503020102020204" pitchFamily="34" charset="0"/>
            </a:rPr>
            <a:t>-Password to disable sheet protection: password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346364</xdr:colOff>
      <xdr:row>12</xdr:row>
      <xdr:rowOff>87312</xdr:rowOff>
    </xdr:from>
    <xdr:to>
      <xdr:col>15</xdr:col>
      <xdr:colOff>408759</xdr:colOff>
      <xdr:row>44</xdr:row>
      <xdr:rowOff>17403</xdr:rowOff>
    </xdr:to>
    <xdr:pic>
      <xdr:nvPicPr>
        <xdr:cNvPr id="2" name="Picture 1">
          <a:hlinkClick xmlns:r="http://schemas.openxmlformats.org/officeDocument/2006/relationships" r:id="rId1"/>
          <a:extLst>
            <a:ext uri="{FF2B5EF4-FFF2-40B4-BE49-F238E27FC236}">
              <a16:creationId xmlns:a16="http://schemas.microsoft.com/office/drawing/2014/main" id="{7F43DC80-7071-5E74-5C9A-C057EBDE8702}"/>
            </a:ext>
          </a:extLst>
        </xdr:cNvPr>
        <xdr:cNvPicPr>
          <a:picLocks noChangeAspect="1"/>
        </xdr:cNvPicPr>
      </xdr:nvPicPr>
      <xdr:blipFill>
        <a:blip xmlns:r="http://schemas.openxmlformats.org/officeDocument/2006/relationships" r:embed="rId2"/>
        <a:stretch>
          <a:fillRect/>
        </a:stretch>
      </xdr:blipFill>
      <xdr:spPr>
        <a:xfrm>
          <a:off x="2784764" y="2567276"/>
          <a:ext cx="6767995" cy="5693582"/>
        </a:xfrm>
        <a:prstGeom prst="rect">
          <a:avLst/>
        </a:prstGeom>
      </xdr:spPr>
    </xdr:pic>
    <xdr:clientData/>
  </xdr:twoCellAnchor>
  <xdr:twoCellAnchor>
    <xdr:from>
      <xdr:col>0</xdr:col>
      <xdr:colOff>92075</xdr:colOff>
      <xdr:row>4</xdr:row>
      <xdr:rowOff>66675</xdr:rowOff>
    </xdr:from>
    <xdr:to>
      <xdr:col>20</xdr:col>
      <xdr:colOff>115094</xdr:colOff>
      <xdr:row>9</xdr:row>
      <xdr:rowOff>92868</xdr:rowOff>
    </xdr:to>
    <xdr:sp macro="" textlink="">
      <xdr:nvSpPr>
        <xdr:cNvPr id="5" name="TextBox 4">
          <a:extLst>
            <a:ext uri="{FF2B5EF4-FFF2-40B4-BE49-F238E27FC236}">
              <a16:creationId xmlns:a16="http://schemas.microsoft.com/office/drawing/2014/main" id="{F3563CF0-F04B-4550-949C-5E1EC9700261}"/>
            </a:ext>
          </a:extLst>
        </xdr:cNvPr>
        <xdr:cNvSpPr txBox="1"/>
      </xdr:nvSpPr>
      <xdr:spPr>
        <a:xfrm>
          <a:off x="92075" y="1123950"/>
          <a:ext cx="12215019" cy="93106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0" baseline="0">
              <a:latin typeface="Franklin Gothic Book" panose="020B0503020102020204" pitchFamily="34" charset="0"/>
            </a:rPr>
            <a:t>The diagram below shows the various potential applications for the three main heat pump technologies considered in this tool (ASHPWH, HTHP, HRC). The three green boxes represent the heat pump technologies included in this screening tool. Blue boxes and arrows represent heat sources, red arrows and boxes denote end uses (heat sinks). </a:t>
          </a:r>
          <a:endParaRPr lang="en-US" sz="1600" b="0">
            <a:latin typeface="Franklin Gothic Book" panose="020B0503020102020204" pitchFamily="34" charset="0"/>
          </a:endParaRPr>
        </a:p>
        <a:p>
          <a:endParaRPr lang="en-US" sz="1600" b="0" baseline="0">
            <a:latin typeface="Franklin Gothic Book" panose="020B0503020102020204" pitchFamily="34" charset="0"/>
          </a:endParaRPr>
        </a:p>
      </xdr:txBody>
    </xdr:sp>
    <xdr:clientData/>
  </xdr:twoCellAnchor>
  <xdr:twoCellAnchor editAs="oneCell">
    <xdr:from>
      <xdr:col>11</xdr:col>
      <xdr:colOff>371475</xdr:colOff>
      <xdr:row>0</xdr:row>
      <xdr:rowOff>0</xdr:rowOff>
    </xdr:from>
    <xdr:to>
      <xdr:col>16</xdr:col>
      <xdr:colOff>377825</xdr:colOff>
      <xdr:row>2</xdr:row>
      <xdr:rowOff>122841</xdr:rowOff>
    </xdr:to>
    <xdr:pic>
      <xdr:nvPicPr>
        <xdr:cNvPr id="7" name="Picture 6">
          <a:extLst>
            <a:ext uri="{FF2B5EF4-FFF2-40B4-BE49-F238E27FC236}">
              <a16:creationId xmlns:a16="http://schemas.microsoft.com/office/drawing/2014/main" id="{E8FCB3DB-B5BB-426C-9468-2A3B630204F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77075" y="0"/>
          <a:ext cx="3054350" cy="818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320616</xdr:colOff>
      <xdr:row>43</xdr:row>
      <xdr:rowOff>162937</xdr:rowOff>
    </xdr:from>
    <xdr:to>
      <xdr:col>21</xdr:col>
      <xdr:colOff>410095</xdr:colOff>
      <xdr:row>49</xdr:row>
      <xdr:rowOff>110835</xdr:rowOff>
    </xdr:to>
    <xdr:sp macro="" textlink="">
      <xdr:nvSpPr>
        <xdr:cNvPr id="10" name="TextBox 9">
          <a:extLst>
            <a:ext uri="{FF2B5EF4-FFF2-40B4-BE49-F238E27FC236}">
              <a16:creationId xmlns:a16="http://schemas.microsoft.com/office/drawing/2014/main" id="{560E5515-FFFF-4A95-80F7-035487747148}"/>
            </a:ext>
          </a:extLst>
        </xdr:cNvPr>
        <xdr:cNvSpPr txBox="1"/>
      </xdr:nvSpPr>
      <xdr:spPr>
        <a:xfrm>
          <a:off x="930216" y="8226282"/>
          <a:ext cx="12281479" cy="102855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0" baseline="0">
              <a:latin typeface="Franklin Gothic Book" panose="020B0503020102020204" pitchFamily="34" charset="0"/>
            </a:rPr>
            <a:t>Figure 2, Decision and Equipment Evaluation Data Flow Charts. </a:t>
          </a:r>
        </a:p>
        <a:p>
          <a:pPr algn="ctr"/>
          <a:r>
            <a:rPr lang="en-US" sz="1600" b="0" baseline="0">
              <a:latin typeface="Franklin Gothic Book" panose="020B0503020102020204" pitchFamily="34" charset="0"/>
            </a:rPr>
            <a:t>Click image to be taken to a larger image for easier viewing</a:t>
          </a:r>
          <a:endParaRPr lang="en-US" sz="1400" b="0" baseline="0">
            <a:latin typeface="Franklin Gothic Book" panose="020B0503020102020204" pitchFamily="34" charset="0"/>
          </a:endParaRPr>
        </a:p>
      </xdr:txBody>
    </xdr:sp>
    <xdr:clientData/>
  </xdr:twoCellAnchor>
  <xdr:twoCellAnchor>
    <xdr:from>
      <xdr:col>4</xdr:col>
      <xdr:colOff>533400</xdr:colOff>
      <xdr:row>10</xdr:row>
      <xdr:rowOff>53340</xdr:rowOff>
    </xdr:from>
    <xdr:to>
      <xdr:col>15</xdr:col>
      <xdr:colOff>411480</xdr:colOff>
      <xdr:row>13</xdr:row>
      <xdr:rowOff>110836</xdr:rowOff>
    </xdr:to>
    <xdr:sp macro="" textlink="">
      <xdr:nvSpPr>
        <xdr:cNvPr id="4" name="TextBox 3">
          <a:extLst>
            <a:ext uri="{FF2B5EF4-FFF2-40B4-BE49-F238E27FC236}">
              <a16:creationId xmlns:a16="http://schemas.microsoft.com/office/drawing/2014/main" id="{D9E4F8A2-465F-7F54-C03A-0FC9110DF70A}"/>
            </a:ext>
          </a:extLst>
        </xdr:cNvPr>
        <xdr:cNvSpPr txBox="1"/>
      </xdr:nvSpPr>
      <xdr:spPr>
        <a:xfrm>
          <a:off x="2971800" y="2173085"/>
          <a:ext cx="6583680" cy="5978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Figure 1, Heat Sources, Heat</a:t>
          </a:r>
          <a:r>
            <a:rPr lang="en-US" sz="1600" baseline="0"/>
            <a:t> Sinks, and Equipment Types</a:t>
          </a:r>
        </a:p>
        <a:p>
          <a:pPr algn="ctr"/>
          <a:r>
            <a:rPr lang="en-US" sz="1600"/>
            <a:t> Click</a:t>
          </a:r>
          <a:r>
            <a:rPr lang="en-US" sz="1600" baseline="0"/>
            <a:t> image to be taken to a larger image for easier viewing</a:t>
          </a:r>
          <a:endParaRPr lang="en-US" sz="1600"/>
        </a:p>
      </xdr:txBody>
    </xdr:sp>
    <xdr:clientData/>
  </xdr:twoCellAnchor>
  <xdr:twoCellAnchor editAs="oneCell">
    <xdr:from>
      <xdr:col>2</xdr:col>
      <xdr:colOff>221673</xdr:colOff>
      <xdr:row>49</xdr:row>
      <xdr:rowOff>135861</xdr:rowOff>
    </xdr:from>
    <xdr:to>
      <xdr:col>19</xdr:col>
      <xdr:colOff>69273</xdr:colOff>
      <xdr:row>77</xdr:row>
      <xdr:rowOff>157432</xdr:rowOff>
    </xdr:to>
    <xdr:pic>
      <xdr:nvPicPr>
        <xdr:cNvPr id="11" name="Picture 10">
          <a:hlinkClick xmlns:r="http://schemas.openxmlformats.org/officeDocument/2006/relationships" r:id="rId4"/>
          <a:extLst>
            <a:ext uri="{FF2B5EF4-FFF2-40B4-BE49-F238E27FC236}">
              <a16:creationId xmlns:a16="http://schemas.microsoft.com/office/drawing/2014/main" id="{EFDFC67B-8422-C802-72A4-0C6CEF96934E}"/>
            </a:ext>
          </a:extLst>
        </xdr:cNvPr>
        <xdr:cNvPicPr>
          <a:picLocks noChangeAspect="1"/>
        </xdr:cNvPicPr>
      </xdr:nvPicPr>
      <xdr:blipFill>
        <a:blip xmlns:r="http://schemas.openxmlformats.org/officeDocument/2006/relationships" r:embed="rId5"/>
        <a:stretch>
          <a:fillRect/>
        </a:stretch>
      </xdr:blipFill>
      <xdr:spPr>
        <a:xfrm>
          <a:off x="1440873" y="9279861"/>
          <a:ext cx="10210800" cy="50646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407707</xdr:colOff>
      <xdr:row>0</xdr:row>
      <xdr:rowOff>19236</xdr:rowOff>
    </xdr:from>
    <xdr:to>
      <xdr:col>6</xdr:col>
      <xdr:colOff>331240</xdr:colOff>
      <xdr:row>2</xdr:row>
      <xdr:rowOff>144458</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54501" y="19236"/>
          <a:ext cx="3049974" cy="8199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368300</xdr:colOff>
      <xdr:row>4</xdr:row>
      <xdr:rowOff>95250</xdr:rowOff>
    </xdr:from>
    <xdr:to>
      <xdr:col>14</xdr:col>
      <xdr:colOff>1551214</xdr:colOff>
      <xdr:row>9</xdr:row>
      <xdr:rowOff>13608</xdr:rowOff>
    </xdr:to>
    <xdr:sp macro="" textlink="">
      <xdr:nvSpPr>
        <xdr:cNvPr id="55" name="TextBox 5">
          <a:extLst>
            <a:ext uri="{FF2B5EF4-FFF2-40B4-BE49-F238E27FC236}">
              <a16:creationId xmlns:a16="http://schemas.microsoft.com/office/drawing/2014/main" id="{00000000-0008-0000-0100-000037000000}"/>
            </a:ext>
          </a:extLst>
        </xdr:cNvPr>
        <xdr:cNvSpPr txBox="1"/>
      </xdr:nvSpPr>
      <xdr:spPr>
        <a:xfrm>
          <a:off x="368300" y="1170214"/>
          <a:ext cx="19266807" cy="97971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0">
              <a:solidFill>
                <a:schemeClr val="dk1"/>
              </a:solidFill>
              <a:effectLst/>
              <a:latin typeface="Franklin Gothic Book" panose="020B0503020102020204" pitchFamily="34" charset="0"/>
              <a:ea typeface="+mn-ea"/>
              <a:cs typeface="+mn-cs"/>
            </a:rPr>
            <a:t>For this screening tool, applications of IHPs in craft breweries are subdivided into three main end uses: water heating, steam generation, and heat recovery/chilling. The three end uses also generally correspond to three types of industrial heat pumps. For water heating, the project team considered air source heat pump water heaters (ASHPWH), for steam generation, steam generating</a:t>
          </a:r>
          <a:r>
            <a:rPr lang="en-US" sz="1800" b="0" baseline="0">
              <a:solidFill>
                <a:schemeClr val="dk1"/>
              </a:solidFill>
              <a:effectLst/>
              <a:latin typeface="Franklin Gothic Book" panose="020B0503020102020204" pitchFamily="34" charset="0"/>
              <a:ea typeface="+mn-ea"/>
              <a:cs typeface="+mn-cs"/>
            </a:rPr>
            <a:t> </a:t>
          </a:r>
          <a:r>
            <a:rPr lang="en-US" sz="1800" b="0">
              <a:solidFill>
                <a:schemeClr val="dk1"/>
              </a:solidFill>
              <a:effectLst/>
              <a:latin typeface="Franklin Gothic Book" panose="020B0503020102020204" pitchFamily="34" charset="0"/>
              <a:ea typeface="+mn-ea"/>
              <a:cs typeface="+mn-cs"/>
            </a:rPr>
            <a:t>heat pumps (SGHP), and for heat recovery/chilling, heat recovery chillers. </a:t>
          </a:r>
        </a:p>
      </xdr:txBody>
    </xdr:sp>
    <xdr:clientData/>
  </xdr:twoCellAnchor>
  <xdr:twoCellAnchor>
    <xdr:from>
      <xdr:col>0</xdr:col>
      <xdr:colOff>373742</xdr:colOff>
      <xdr:row>11</xdr:row>
      <xdr:rowOff>57148</xdr:rowOff>
    </xdr:from>
    <xdr:to>
      <xdr:col>14</xdr:col>
      <xdr:colOff>1333500</xdr:colOff>
      <xdr:row>22</xdr:row>
      <xdr:rowOff>27215</xdr:rowOff>
    </xdr:to>
    <xdr:sp macro="" textlink="">
      <xdr:nvSpPr>
        <xdr:cNvPr id="90" name="TextBox 7">
          <a:extLst>
            <a:ext uri="{FF2B5EF4-FFF2-40B4-BE49-F238E27FC236}">
              <a16:creationId xmlns:a16="http://schemas.microsoft.com/office/drawing/2014/main" id="{00000000-0008-0000-0100-00005A000000}"/>
            </a:ext>
          </a:extLst>
        </xdr:cNvPr>
        <xdr:cNvSpPr txBox="1"/>
      </xdr:nvSpPr>
      <xdr:spPr>
        <a:xfrm>
          <a:off x="373742" y="2574469"/>
          <a:ext cx="19043651" cy="2065567"/>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0">
              <a:solidFill>
                <a:schemeClr val="dk1"/>
              </a:solidFill>
              <a:effectLst/>
              <a:latin typeface="Franklin Gothic Book" panose="020B0503020102020204" pitchFamily="34" charset="0"/>
              <a:ea typeface="+mn-ea"/>
              <a:cs typeface="+mn-cs"/>
            </a:rPr>
            <a:t>To</a:t>
          </a:r>
          <a:r>
            <a:rPr lang="en-US" sz="1800" b="0" baseline="0">
              <a:solidFill>
                <a:schemeClr val="dk1"/>
              </a:solidFill>
              <a:effectLst/>
              <a:latin typeface="Franklin Gothic Book" panose="020B0503020102020204" pitchFamily="34" charset="0"/>
              <a:ea typeface="+mn-ea"/>
              <a:cs typeface="+mn-cs"/>
            </a:rPr>
            <a:t> use this tool, take the following steps:</a:t>
          </a:r>
          <a:endParaRPr lang="en-US" sz="1800" b="0">
            <a:solidFill>
              <a:schemeClr val="dk1"/>
            </a:solidFill>
            <a:effectLst/>
            <a:latin typeface="Franklin Gothic Book" panose="020B0503020102020204" pitchFamily="34" charset="0"/>
            <a:ea typeface="+mn-ea"/>
            <a:cs typeface="+mn-cs"/>
          </a:endParaRPr>
        </a:p>
        <a:p>
          <a:r>
            <a:rPr lang="en-US" sz="1800" b="1">
              <a:solidFill>
                <a:schemeClr val="dk1"/>
              </a:solidFill>
              <a:effectLst/>
              <a:latin typeface="Franklin Gothic Book" panose="020B0503020102020204" pitchFamily="34" charset="0"/>
              <a:ea typeface="+mn-ea"/>
              <a:cs typeface="+mn-cs"/>
            </a:rPr>
            <a:t>Step 1. Input </a:t>
          </a:r>
          <a:r>
            <a:rPr lang="en-US" sz="1800" b="1" baseline="0">
              <a:solidFill>
                <a:schemeClr val="dk1"/>
              </a:solidFill>
              <a:effectLst/>
              <a:latin typeface="Franklin Gothic Book" panose="020B0503020102020204" pitchFamily="34" charset="0"/>
              <a:ea typeface="+mn-ea"/>
              <a:cs typeface="+mn-cs"/>
            </a:rPr>
            <a:t>energy costs. </a:t>
          </a:r>
          <a:r>
            <a:rPr lang="en-US" sz="1800" b="0" baseline="0">
              <a:solidFill>
                <a:schemeClr val="dk1"/>
              </a:solidFill>
              <a:effectLst/>
              <a:latin typeface="Franklin Gothic Book" panose="020B0503020102020204" pitchFamily="34" charset="0"/>
              <a:ea typeface="+mn-ea"/>
              <a:cs typeface="+mn-cs"/>
            </a:rPr>
            <a:t>Suggested values are provided based on EIA averages, but the outputs will be more accurate if you enter your own average rates</a:t>
          </a:r>
          <a:endParaRPr lang="en-US" sz="1800" b="1">
            <a:solidFill>
              <a:schemeClr val="dk1"/>
            </a:solidFill>
            <a:effectLst/>
            <a:latin typeface="Franklin Gothic Book" panose="020B0503020102020204" pitchFamily="34" charset="0"/>
            <a:ea typeface="+mn-ea"/>
            <a:cs typeface="+mn-cs"/>
          </a:endParaRPr>
        </a:p>
        <a:p>
          <a:r>
            <a:rPr lang="en-US" sz="1800" b="1">
              <a:solidFill>
                <a:schemeClr val="dk1"/>
              </a:solidFill>
              <a:effectLst/>
              <a:latin typeface="Franklin Gothic Book" panose="020B0503020102020204" pitchFamily="34" charset="0"/>
              <a:ea typeface="+mn-ea"/>
              <a:cs typeface="+mn-cs"/>
            </a:rPr>
            <a:t>Step 2. Select the technology that you are interested</a:t>
          </a:r>
          <a:r>
            <a:rPr lang="en-US" sz="1800" b="1" baseline="0">
              <a:solidFill>
                <a:schemeClr val="dk1"/>
              </a:solidFill>
              <a:effectLst/>
              <a:latin typeface="Franklin Gothic Book" panose="020B0503020102020204" pitchFamily="34" charset="0"/>
              <a:ea typeface="+mn-ea"/>
              <a:cs typeface="+mn-cs"/>
            </a:rPr>
            <a:t> in. </a:t>
          </a:r>
          <a:r>
            <a:rPr lang="en-US" sz="1800" b="0" baseline="0">
              <a:solidFill>
                <a:schemeClr val="dk1"/>
              </a:solidFill>
              <a:effectLst/>
              <a:latin typeface="Franklin Gothic Book" panose="020B0503020102020204" pitchFamily="34" charset="0"/>
              <a:ea typeface="+mn-ea"/>
              <a:cs typeface="+mn-cs"/>
            </a:rPr>
            <a:t>Choose between air source heat pump water heater, steam generating heat pump or heat recovery chiller. </a:t>
          </a:r>
        </a:p>
        <a:p>
          <a:r>
            <a:rPr lang="en-US" sz="1800" b="1" baseline="0">
              <a:solidFill>
                <a:schemeClr val="dk1"/>
              </a:solidFill>
              <a:effectLst/>
              <a:latin typeface="Franklin Gothic Book" panose="020B0503020102020204" pitchFamily="34" charset="0"/>
              <a:ea typeface="+mn-ea"/>
              <a:cs typeface="+mn-cs"/>
            </a:rPr>
            <a:t>Step 3. Enter the relevant inputs </a:t>
          </a:r>
          <a:r>
            <a:rPr lang="en-US" sz="1800" b="0" baseline="0">
              <a:solidFill>
                <a:schemeClr val="dk1"/>
              </a:solidFill>
              <a:effectLst/>
              <a:latin typeface="Franklin Gothic Book" panose="020B0503020102020204" pitchFamily="34" charset="0"/>
              <a:ea typeface="+mn-ea"/>
              <a:cs typeface="+mn-cs"/>
            </a:rPr>
            <a:t>based on your brewing facilities and operations. </a:t>
          </a:r>
        </a:p>
        <a:p>
          <a:r>
            <a:rPr lang="en-US" sz="1800" b="1" baseline="0">
              <a:solidFill>
                <a:schemeClr val="dk1"/>
              </a:solidFill>
              <a:effectLst/>
              <a:latin typeface="Franklin Gothic Book" panose="020B0503020102020204" pitchFamily="34" charset="0"/>
              <a:ea typeface="+mn-ea"/>
              <a:cs typeface="+mn-cs"/>
            </a:rPr>
            <a:t>Step 4. Review the outputs </a:t>
          </a:r>
          <a:r>
            <a:rPr lang="en-US" sz="1800" b="0" baseline="0">
              <a:solidFill>
                <a:schemeClr val="dk1"/>
              </a:solidFill>
              <a:effectLst/>
              <a:latin typeface="Franklin Gothic Book" panose="020B0503020102020204" pitchFamily="34" charset="0"/>
              <a:ea typeface="+mn-ea"/>
              <a:cs typeface="+mn-cs"/>
            </a:rPr>
            <a:t>to understand the impacts of the heat pump technology. </a:t>
          </a:r>
        </a:p>
        <a:p>
          <a:r>
            <a:rPr lang="en-US" sz="1800" b="1">
              <a:effectLst/>
              <a:latin typeface="Franklin Gothic Book" panose="020B0503020102020204" pitchFamily="34" charset="0"/>
            </a:rPr>
            <a:t>Step 5. Visit the individual equipment chapters </a:t>
          </a:r>
          <a:r>
            <a:rPr lang="en-US" sz="1800" b="0">
              <a:effectLst/>
              <a:latin typeface="Franklin Gothic Book" panose="020B0503020102020204" pitchFamily="34" charset="0"/>
            </a:rPr>
            <a:t>(ASHPWH, SGHP,</a:t>
          </a:r>
          <a:r>
            <a:rPr lang="en-US" sz="1800" b="0" baseline="0">
              <a:effectLst/>
              <a:latin typeface="Franklin Gothic Book" panose="020B0503020102020204" pitchFamily="34" charset="0"/>
            </a:rPr>
            <a:t> Heat Recovery) for a more detailed look at calculations. For instance, this main calculator assumes an average equipment load of 50%, which can be adjusted in the ASHPWH and SGHP tabs if so desired. </a:t>
          </a:r>
          <a:endParaRPr lang="en-US" sz="1800" b="1">
            <a:effectLst/>
            <a:latin typeface="Franklin Gothic Book" panose="020B0503020102020204" pitchFamily="34" charset="0"/>
          </a:endParaRPr>
        </a:p>
      </xdr:txBody>
    </xdr:sp>
    <xdr:clientData/>
  </xdr:twoCellAnchor>
  <xdr:twoCellAnchor>
    <xdr:from>
      <xdr:col>5</xdr:col>
      <xdr:colOff>14408</xdr:colOff>
      <xdr:row>27</xdr:row>
      <xdr:rowOff>56029</xdr:rowOff>
    </xdr:from>
    <xdr:to>
      <xdr:col>5</xdr:col>
      <xdr:colOff>25614</xdr:colOff>
      <xdr:row>94</xdr:row>
      <xdr:rowOff>104028</xdr:rowOff>
    </xdr:to>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a:off x="8886265" y="4981815"/>
          <a:ext cx="11206" cy="15083892"/>
        </a:xfrm>
        <a:prstGeom prst="line">
          <a:avLst/>
        </a:prstGeom>
        <a:ln>
          <a:solidFill>
            <a:srgbClr val="002060"/>
          </a:solidFill>
        </a:ln>
      </xdr:spPr>
      <xdr:style>
        <a:lnRef idx="3">
          <a:schemeClr val="accent1"/>
        </a:lnRef>
        <a:fillRef idx="0">
          <a:schemeClr val="accent1"/>
        </a:fillRef>
        <a:effectRef idx="2">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xdr:col>
          <xdr:colOff>1485900</xdr:colOff>
          <xdr:row>29</xdr:row>
          <xdr:rowOff>50800</xdr:rowOff>
        </xdr:from>
        <xdr:to>
          <xdr:col>4</xdr:col>
          <xdr:colOff>615950</xdr:colOff>
          <xdr:row>29</xdr:row>
          <xdr:rowOff>698500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en-US" sz="1400" b="0" i="0" u="none" strike="noStrike" baseline="0">
                  <a:solidFill>
                    <a:srgbClr val="000000"/>
                  </a:solidFill>
                  <a:latin typeface="Calibri"/>
                  <a:cs typeface="Calibri"/>
                </a:rPr>
                <a:t>Reset calculator to default values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101600</xdr:colOff>
      <xdr:row>0</xdr:row>
      <xdr:rowOff>47625</xdr:rowOff>
    </xdr:from>
    <xdr:to>
      <xdr:col>7</xdr:col>
      <xdr:colOff>1321504</xdr:colOff>
      <xdr:row>2</xdr:row>
      <xdr:rowOff>172287</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50025" y="47625"/>
          <a:ext cx="3062674" cy="8199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209550</xdr:colOff>
      <xdr:row>3</xdr:row>
      <xdr:rowOff>171450</xdr:rowOff>
    </xdr:from>
    <xdr:to>
      <xdr:col>13</xdr:col>
      <xdr:colOff>257175</xdr:colOff>
      <xdr:row>7</xdr:row>
      <xdr:rowOff>152400</xdr:rowOff>
    </xdr:to>
    <xdr:sp macro="" textlink="">
      <xdr:nvSpPr>
        <xdr:cNvPr id="2" name="TextBox 2">
          <a:extLst>
            <a:ext uri="{FF2B5EF4-FFF2-40B4-BE49-F238E27FC236}">
              <a16:creationId xmlns:a16="http://schemas.microsoft.com/office/drawing/2014/main" id="{2F273788-E309-4C5F-B3FF-BBB715146221}"/>
            </a:ext>
          </a:extLst>
        </xdr:cNvPr>
        <xdr:cNvSpPr txBox="1"/>
      </xdr:nvSpPr>
      <xdr:spPr>
        <a:xfrm>
          <a:off x="209550" y="1057275"/>
          <a:ext cx="14373225" cy="7429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0">
              <a:solidFill>
                <a:schemeClr val="dk1"/>
              </a:solidFill>
              <a:effectLst/>
              <a:latin typeface="Franklin Gothic Book" panose="020B0503020102020204" pitchFamily="34" charset="0"/>
              <a:ea typeface="+mn-ea"/>
              <a:cs typeface="+mn-cs"/>
            </a:rPr>
            <a:t>This page includes references for values and assumptions used in the tool's</a:t>
          </a:r>
          <a:r>
            <a:rPr lang="en-US" sz="1800" b="0" baseline="0">
              <a:solidFill>
                <a:schemeClr val="dk1"/>
              </a:solidFill>
              <a:effectLst/>
              <a:latin typeface="Franklin Gothic Book" panose="020B0503020102020204" pitchFamily="34" charset="0"/>
              <a:ea typeface="+mn-ea"/>
              <a:cs typeface="+mn-cs"/>
            </a:rPr>
            <a:t> calculations. Details of these variables are covered in the data dictionary. For those interested in understanding in-spreadsheet cell references, refer to the table at the bottom of this page. </a:t>
          </a:r>
          <a:endParaRPr lang="en-US" sz="1800" b="0">
            <a:effectLst/>
            <a:latin typeface="Franklin Gothic Book" panose="020B05030201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1609725</xdr:colOff>
      <xdr:row>0</xdr:row>
      <xdr:rowOff>53975</xdr:rowOff>
    </xdr:from>
    <xdr:to>
      <xdr:col>4</xdr:col>
      <xdr:colOff>2380049</xdr:colOff>
      <xdr:row>2</xdr:row>
      <xdr:rowOff>178637</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0" y="53975"/>
          <a:ext cx="3046799" cy="8199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44449</xdr:colOff>
      <xdr:row>3</xdr:row>
      <xdr:rowOff>47626</xdr:rowOff>
    </xdr:from>
    <xdr:to>
      <xdr:col>5</xdr:col>
      <xdr:colOff>1838324</xdr:colOff>
      <xdr:row>6</xdr:row>
      <xdr:rowOff>28575</xdr:rowOff>
    </xdr:to>
    <xdr:sp macro="" textlink="">
      <xdr:nvSpPr>
        <xdr:cNvPr id="5" name="TextBox 2">
          <a:extLst>
            <a:ext uri="{FF2B5EF4-FFF2-40B4-BE49-F238E27FC236}">
              <a16:creationId xmlns:a16="http://schemas.microsoft.com/office/drawing/2014/main" id="{00000000-0008-0000-0300-000005000000}"/>
            </a:ext>
          </a:extLst>
        </xdr:cNvPr>
        <xdr:cNvSpPr txBox="1"/>
      </xdr:nvSpPr>
      <xdr:spPr>
        <a:xfrm>
          <a:off x="44449" y="933451"/>
          <a:ext cx="16233775" cy="55244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0">
              <a:solidFill>
                <a:schemeClr val="dk1"/>
              </a:solidFill>
              <a:effectLst/>
              <a:latin typeface="Franklin Gothic Book" panose="020B0503020102020204" pitchFamily="34" charset="0"/>
              <a:ea typeface="+mn-ea"/>
              <a:cs typeface="+mn-cs"/>
            </a:rPr>
            <a:t>This tab provides a descriptions for all</a:t>
          </a:r>
          <a:r>
            <a:rPr lang="en-US" sz="1800" b="0" baseline="0">
              <a:solidFill>
                <a:schemeClr val="dk1"/>
              </a:solidFill>
              <a:effectLst/>
              <a:latin typeface="Franklin Gothic Book" panose="020B0503020102020204" pitchFamily="34" charset="0"/>
              <a:ea typeface="+mn-ea"/>
              <a:cs typeface="+mn-cs"/>
            </a:rPr>
            <a:t> variables used in the spreadsheet, organized by sheet, section, and table. </a:t>
          </a:r>
          <a:endParaRPr lang="en-US" sz="1800" b="0">
            <a:effectLst/>
            <a:latin typeface="Franklin Gothic Book" panose="020B05030201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180975</xdr:colOff>
      <xdr:row>0</xdr:row>
      <xdr:rowOff>28575</xdr:rowOff>
    </xdr:from>
    <xdr:to>
      <xdr:col>12</xdr:col>
      <xdr:colOff>179854</xdr:colOff>
      <xdr:row>2</xdr:row>
      <xdr:rowOff>153237</xdr:rowOff>
    </xdr:to>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9950" y="28575"/>
          <a:ext cx="3046879" cy="8168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66675</xdr:colOff>
      <xdr:row>3</xdr:row>
      <xdr:rowOff>47624</xdr:rowOff>
    </xdr:from>
    <xdr:to>
      <xdr:col>12</xdr:col>
      <xdr:colOff>95250</xdr:colOff>
      <xdr:row>10</xdr:row>
      <xdr:rowOff>160019</xdr:rowOff>
    </xdr:to>
    <xdr:sp macro="" textlink="">
      <xdr:nvSpPr>
        <xdr:cNvPr id="19854" name="TextBox 4">
          <a:extLst>
            <a:ext uri="{FF2B5EF4-FFF2-40B4-BE49-F238E27FC236}">
              <a16:creationId xmlns:a16="http://schemas.microsoft.com/office/drawing/2014/main" id="{00000000-0008-0000-0500-00008E4D0000}"/>
            </a:ext>
          </a:extLst>
        </xdr:cNvPr>
        <xdr:cNvSpPr txBox="1"/>
      </xdr:nvSpPr>
      <xdr:spPr>
        <a:xfrm>
          <a:off x="66675" y="916304"/>
          <a:ext cx="14079855" cy="144589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0">
              <a:solidFill>
                <a:schemeClr val="dk1"/>
              </a:solidFill>
              <a:effectLst/>
              <a:latin typeface="Franklin Gothic Book" panose="020B0503020102020204" pitchFamily="34" charset="0"/>
              <a:ea typeface="+mn-ea"/>
              <a:cs typeface="+mn-cs"/>
            </a:rPr>
            <a:t>This tab compares the performance</a:t>
          </a:r>
          <a:r>
            <a:rPr lang="en-US" sz="1800" b="0" baseline="0">
              <a:solidFill>
                <a:schemeClr val="dk1"/>
              </a:solidFill>
              <a:effectLst/>
              <a:latin typeface="Franklin Gothic Book" panose="020B0503020102020204" pitchFamily="34" charset="0"/>
              <a:ea typeface="+mn-ea"/>
              <a:cs typeface="+mn-cs"/>
            </a:rPr>
            <a:t> of an air source heat pump water heater to a conventional natural gas water heater. The default water heater efficiency is for a several year old standard efficiency water heater. For the heat pump it is assumed that the required heat source input conditions can be met, that heat pump is of comparable size to the water heater, and that heat pump can output water at the required temperature. The default heat pump value is for a Trane Ascend air source heat pump. For details on user inputs, click on each default value for guidance.</a:t>
          </a:r>
          <a:endParaRPr lang="en-US" sz="1800" b="0">
            <a:effectLst/>
            <a:latin typeface="Franklin Gothic Book" panose="020B05030201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142875</xdr:colOff>
      <xdr:row>0</xdr:row>
      <xdr:rowOff>53975</xdr:rowOff>
    </xdr:from>
    <xdr:to>
      <xdr:col>11</xdr:col>
      <xdr:colOff>830729</xdr:colOff>
      <xdr:row>2</xdr:row>
      <xdr:rowOff>181812</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3225" y="53975"/>
          <a:ext cx="3050054" cy="8199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92634</xdr:colOff>
      <xdr:row>3</xdr:row>
      <xdr:rowOff>78068</xdr:rowOff>
    </xdr:from>
    <xdr:to>
      <xdr:col>11</xdr:col>
      <xdr:colOff>717176</xdr:colOff>
      <xdr:row>10</xdr:row>
      <xdr:rowOff>179294</xdr:rowOff>
    </xdr:to>
    <xdr:sp macro="" textlink="">
      <xdr:nvSpPr>
        <xdr:cNvPr id="20500" name="TextBox 3">
          <a:extLst>
            <a:ext uri="{FF2B5EF4-FFF2-40B4-BE49-F238E27FC236}">
              <a16:creationId xmlns:a16="http://schemas.microsoft.com/office/drawing/2014/main" id="{00000000-0008-0000-0600-000014500000}"/>
            </a:ext>
          </a:extLst>
        </xdr:cNvPr>
        <xdr:cNvSpPr txBox="1"/>
      </xdr:nvSpPr>
      <xdr:spPr>
        <a:xfrm>
          <a:off x="92634" y="963333"/>
          <a:ext cx="13253571" cy="1434726"/>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ysClr val="windowText" lastClr="000000"/>
              </a:solidFill>
              <a:effectLst/>
              <a:latin typeface="Franklin Gothic Book" panose="020B0503020102020204" pitchFamily="34" charset="0"/>
            </a:rPr>
            <a:t>Steam Generating heat pumps</a:t>
          </a:r>
          <a:r>
            <a:rPr lang="en-US" sz="1600" b="0" baseline="0">
              <a:solidFill>
                <a:sysClr val="windowText" lastClr="000000"/>
              </a:solidFill>
              <a:effectLst/>
              <a:latin typeface="Franklin Gothic Book" panose="020B0503020102020204" pitchFamily="34" charset="0"/>
            </a:rPr>
            <a:t> require a heat source to operate. For potential heat sources that may be found in a brewery, refer to Figure 1 on the introduction tab. </a:t>
          </a:r>
          <a:r>
            <a:rPr lang="en-US" sz="1600" b="0">
              <a:effectLst/>
              <a:latin typeface="Franklin Gothic Book" panose="020B0503020102020204" pitchFamily="34" charset="0"/>
            </a:rPr>
            <a:t>This tab compares the generation of steam with</a:t>
          </a:r>
          <a:r>
            <a:rPr lang="en-US" sz="1600" b="0" baseline="0">
              <a:effectLst/>
              <a:latin typeface="Franklin Gothic Book" panose="020B0503020102020204" pitchFamily="34" charset="0"/>
            </a:rPr>
            <a:t> a steam generating heat pump to a typical natural gas fired boiler. A boiler efficiency of 83.6% was used (Inveno Engineering, 2019) for a well maintained boiler. For the heat pump, we assumed that the steam is low pressure steam, that the required heat source input conditions are able to be supplied for either water source or air source heat pumps, and that the heat pump can output at the required steam pressure. The default value is for a Kobelco SGHP which gives a COP of 2.7 with a 45°C (water) heat source. For 55°C heat source the COP is 3.1, and for 65°C heat source the COP is 3.3. For details on user inputs, click each default value for guidance.</a:t>
          </a:r>
          <a:endParaRPr lang="en-US" sz="1600" b="0">
            <a:effectLst/>
            <a:latin typeface="Franklin Gothic Book" panose="020B05030201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82735</xdr:colOff>
      <xdr:row>3</xdr:row>
      <xdr:rowOff>84978</xdr:rowOff>
    </xdr:from>
    <xdr:to>
      <xdr:col>9</xdr:col>
      <xdr:colOff>381000</xdr:colOff>
      <xdr:row>10</xdr:row>
      <xdr:rowOff>104775</xdr:rowOff>
    </xdr:to>
    <xdr:sp macro="" textlink="">
      <xdr:nvSpPr>
        <xdr:cNvPr id="6" name="TextBox 2">
          <a:extLst>
            <a:ext uri="{FF2B5EF4-FFF2-40B4-BE49-F238E27FC236}">
              <a16:creationId xmlns:a16="http://schemas.microsoft.com/office/drawing/2014/main" id="{00000000-0008-0000-0400-000006000000}"/>
            </a:ext>
          </a:extLst>
        </xdr:cNvPr>
        <xdr:cNvSpPr txBox="1"/>
      </xdr:nvSpPr>
      <xdr:spPr>
        <a:xfrm>
          <a:off x="82735" y="970803"/>
          <a:ext cx="17195615" cy="1353297"/>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0">
              <a:solidFill>
                <a:schemeClr val="dk1"/>
              </a:solidFill>
              <a:effectLst/>
              <a:latin typeface="Franklin Gothic Book" panose="020B0503020102020204" pitchFamily="34" charset="0"/>
              <a:ea typeface="+mn-ea"/>
              <a:cs typeface="+mn-cs"/>
            </a:rPr>
            <a:t>This tab lets users explore how</a:t>
          </a:r>
          <a:r>
            <a:rPr lang="en-US" sz="1800" b="0" baseline="0">
              <a:solidFill>
                <a:schemeClr val="dk1"/>
              </a:solidFill>
              <a:effectLst/>
              <a:latin typeface="Franklin Gothic Book" panose="020B0503020102020204" pitchFamily="34" charset="0"/>
              <a:ea typeface="+mn-ea"/>
              <a:cs typeface="+mn-cs"/>
            </a:rPr>
            <a:t> the water heating and cooling parameters such as temperature and volume of both heat source and heat sink affect heat recovery chiller performance and operating cost while comparing to a traditional steam boiler system. The Coefficient of Performance is automatically calculated based upon the desired water temperature for water heating and the starting temperature of the cooling water. The calculations used follow the format used by the U.S. Department of Energy's Energy Efficiency and Renewable Energy Brief: Industrial Heat Pumps for Steam and Fuel Savings (2003).</a:t>
          </a:r>
        </a:p>
      </xdr:txBody>
    </xdr:sp>
    <xdr:clientData/>
  </xdr:twoCellAnchor>
  <xdr:twoCellAnchor editAs="oneCell">
    <xdr:from>
      <xdr:col>3</xdr:col>
      <xdr:colOff>695325</xdr:colOff>
      <xdr:row>0</xdr:row>
      <xdr:rowOff>28575</xdr:rowOff>
    </xdr:from>
    <xdr:to>
      <xdr:col>4</xdr:col>
      <xdr:colOff>1066800</xdr:colOff>
      <xdr:row>2</xdr:row>
      <xdr:rowOff>144272</xdr:rowOff>
    </xdr:to>
    <xdr:pic>
      <xdr:nvPicPr>
        <xdr:cNvPr id="4" name="Picture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29425" y="28575"/>
          <a:ext cx="3044825" cy="811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200025</xdr:colOff>
      <xdr:row>0</xdr:row>
      <xdr:rowOff>0</xdr:rowOff>
    </xdr:from>
    <xdr:to>
      <xdr:col>12</xdr:col>
      <xdr:colOff>199231</xdr:colOff>
      <xdr:row>2</xdr:row>
      <xdr:rowOff>126016</xdr:rowOff>
    </xdr:to>
    <xdr:pic>
      <xdr:nvPicPr>
        <xdr:cNvPr id="3" name="Picture 2">
          <a:extLst>
            <a:ext uri="{FF2B5EF4-FFF2-40B4-BE49-F238E27FC236}">
              <a16:creationId xmlns:a16="http://schemas.microsoft.com/office/drawing/2014/main" id="{03844E74-D37F-49A0-91C5-D679FCA622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62825" y="0"/>
          <a:ext cx="3050381" cy="82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114299</xdr:colOff>
      <xdr:row>3</xdr:row>
      <xdr:rowOff>152400</xdr:rowOff>
    </xdr:from>
    <xdr:to>
      <xdr:col>8</xdr:col>
      <xdr:colOff>571500</xdr:colOff>
      <xdr:row>11</xdr:row>
      <xdr:rowOff>171450</xdr:rowOff>
    </xdr:to>
    <xdr:sp macro="" textlink="">
      <xdr:nvSpPr>
        <xdr:cNvPr id="4" name="TextBox 2">
          <a:extLst>
            <a:ext uri="{FF2B5EF4-FFF2-40B4-BE49-F238E27FC236}">
              <a16:creationId xmlns:a16="http://schemas.microsoft.com/office/drawing/2014/main" id="{B85EDF14-38DB-4991-88CD-81BAF31E2CAC}"/>
            </a:ext>
          </a:extLst>
        </xdr:cNvPr>
        <xdr:cNvSpPr txBox="1"/>
      </xdr:nvSpPr>
      <xdr:spPr>
        <a:xfrm>
          <a:off x="114299" y="1038225"/>
          <a:ext cx="8553451" cy="154305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0">
              <a:solidFill>
                <a:schemeClr val="dk1"/>
              </a:solidFill>
              <a:effectLst/>
              <a:latin typeface="Franklin Gothic Book" panose="020B0503020102020204" pitchFamily="34" charset="0"/>
              <a:ea typeface="+mn-ea"/>
              <a:cs typeface="+mn-cs"/>
            </a:rPr>
            <a:t>This tab c</a:t>
          </a:r>
          <a:r>
            <a:rPr lang="en-US" sz="1800" b="0" baseline="0">
              <a:solidFill>
                <a:schemeClr val="dk1"/>
              </a:solidFill>
              <a:effectLst/>
              <a:latin typeface="Franklin Gothic Book" panose="020B0503020102020204" pitchFamily="34" charset="0"/>
              <a:ea typeface="+mn-ea"/>
              <a:cs typeface="+mn-cs"/>
            </a:rPr>
            <a:t>ontains preliminary payback and process specific unit savings based on a 2002 LBNL study on energy efficiency opportunities in the brewing industry. While this study is old, this list suggests options for brewers either in addition to heat pump installation or as a complement to it. Check with your local utility and 3rd party program implementer for potential incentives and On-Bill Financing. </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65314</xdr:colOff>
      <xdr:row>4</xdr:row>
      <xdr:rowOff>65314</xdr:rowOff>
    </xdr:from>
    <xdr:to>
      <xdr:col>23</xdr:col>
      <xdr:colOff>210166</xdr:colOff>
      <xdr:row>66</xdr:row>
      <xdr:rowOff>22805</xdr:rowOff>
    </xdr:to>
    <xdr:pic>
      <xdr:nvPicPr>
        <xdr:cNvPr id="3" name="Picture 2">
          <a:hlinkClick xmlns:r="http://schemas.openxmlformats.org/officeDocument/2006/relationships" r:id="rId1"/>
          <a:extLst>
            <a:ext uri="{FF2B5EF4-FFF2-40B4-BE49-F238E27FC236}">
              <a16:creationId xmlns:a16="http://schemas.microsoft.com/office/drawing/2014/main" id="{A25A8D4D-A109-148B-1BD6-D015467DE870}"/>
            </a:ext>
          </a:extLst>
        </xdr:cNvPr>
        <xdr:cNvPicPr>
          <a:picLocks noChangeAspect="1"/>
        </xdr:cNvPicPr>
      </xdr:nvPicPr>
      <xdr:blipFill>
        <a:blip xmlns:r="http://schemas.openxmlformats.org/officeDocument/2006/relationships" r:embed="rId2"/>
        <a:stretch>
          <a:fillRect/>
        </a:stretch>
      </xdr:blipFill>
      <xdr:spPr>
        <a:xfrm>
          <a:off x="65314" y="805543"/>
          <a:ext cx="14165652" cy="11431033"/>
        </a:xfrm>
        <a:prstGeom prst="rect">
          <a:avLst/>
        </a:prstGeom>
      </xdr:spPr>
    </xdr:pic>
    <xdr:clientData/>
  </xdr:twoCellAnchor>
  <xdr:twoCellAnchor>
    <xdr:from>
      <xdr:col>23</xdr:col>
      <xdr:colOff>254000</xdr:colOff>
      <xdr:row>18</xdr:row>
      <xdr:rowOff>47170</xdr:rowOff>
    </xdr:from>
    <xdr:to>
      <xdr:col>30</xdr:col>
      <xdr:colOff>330200</xdr:colOff>
      <xdr:row>43</xdr:row>
      <xdr:rowOff>97971</xdr:rowOff>
    </xdr:to>
    <xdr:sp macro="" textlink="">
      <xdr:nvSpPr>
        <xdr:cNvPr id="4" name="TextBox 3">
          <a:extLst>
            <a:ext uri="{FF2B5EF4-FFF2-40B4-BE49-F238E27FC236}">
              <a16:creationId xmlns:a16="http://schemas.microsoft.com/office/drawing/2014/main" id="{9F43BCFC-59D6-885B-A6EC-6B44262E217D}"/>
            </a:ext>
          </a:extLst>
        </xdr:cNvPr>
        <xdr:cNvSpPr txBox="1"/>
      </xdr:nvSpPr>
      <xdr:spPr>
        <a:xfrm>
          <a:off x="14274800" y="3378199"/>
          <a:ext cx="4343400" cy="46772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Blue Boxes represent heat sources</a:t>
          </a:r>
        </a:p>
        <a:p>
          <a:r>
            <a:rPr lang="en-US" sz="2000"/>
            <a:t>Magenta</a:t>
          </a:r>
          <a:r>
            <a:rPr lang="en-US" sz="2000" baseline="0"/>
            <a:t> boxes represent heat sinks</a:t>
          </a:r>
        </a:p>
        <a:p>
          <a:r>
            <a:rPr lang="en-US" sz="2000" baseline="0"/>
            <a:t>Green boxes represent technologies</a:t>
          </a:r>
        </a:p>
        <a:p>
          <a:endParaRPr lang="en-US" sz="2000" baseline="0"/>
        </a:p>
        <a:p>
          <a:r>
            <a:rPr lang="en-US" sz="2000" baseline="0"/>
            <a:t>Blue arrows represents heat flowing from a source to an equipment</a:t>
          </a:r>
        </a:p>
        <a:p>
          <a:r>
            <a:rPr lang="en-US" sz="2000" baseline="0"/>
            <a:t>Red arrows represent heat flowing from an equipment to a heat sink (end use).</a:t>
          </a:r>
        </a:p>
        <a:p>
          <a:endParaRPr lang="en-US" sz="2000" baseline="0"/>
        </a:p>
        <a:p>
          <a:r>
            <a:rPr lang="en-US" sz="2000" baseline="0"/>
            <a:t>Brewing process diagram courtesy "Opportunities for energy efficiency improvements in craft and micro-breweries" Raffa, Bennett, Clemon ASME 2022</a:t>
          </a:r>
        </a:p>
        <a:p>
          <a:endParaRPr lang="en-US" sz="2000"/>
        </a:p>
      </xdr:txBody>
    </xdr:sp>
    <xdr:clientData/>
  </xdr:twoCellAnchor>
  <xdr:twoCellAnchor>
    <xdr:from>
      <xdr:col>7</xdr:col>
      <xdr:colOff>0</xdr:colOff>
      <xdr:row>1</xdr:row>
      <xdr:rowOff>0</xdr:rowOff>
    </xdr:from>
    <xdr:to>
      <xdr:col>18</xdr:col>
      <xdr:colOff>127579</xdr:colOff>
      <xdr:row>5</xdr:row>
      <xdr:rowOff>110671</xdr:rowOff>
    </xdr:to>
    <xdr:sp macro="" textlink="">
      <xdr:nvSpPr>
        <xdr:cNvPr id="6" name="TextBox 5">
          <a:extLst>
            <a:ext uri="{FF2B5EF4-FFF2-40B4-BE49-F238E27FC236}">
              <a16:creationId xmlns:a16="http://schemas.microsoft.com/office/drawing/2014/main" id="{0AF56AD4-125C-46B2-B97B-9BCEAFAB17B8}"/>
            </a:ext>
          </a:extLst>
        </xdr:cNvPr>
        <xdr:cNvSpPr txBox="1"/>
      </xdr:nvSpPr>
      <xdr:spPr>
        <a:xfrm>
          <a:off x="4267200" y="185057"/>
          <a:ext cx="6833179" cy="85090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b="0" baseline="0">
              <a:latin typeface="Franklin Gothic Book" panose="020B0503020102020204" pitchFamily="34" charset="0"/>
            </a:rPr>
            <a:t>Figure 1, </a:t>
          </a:r>
          <a:r>
            <a:rPr lang="en-US" sz="2000">
              <a:solidFill>
                <a:schemeClr val="dk1"/>
              </a:solidFill>
              <a:effectLst/>
              <a:latin typeface="+mn-lt"/>
              <a:ea typeface="+mn-ea"/>
              <a:cs typeface="+mn-cs"/>
            </a:rPr>
            <a:t> Heat Sources, Heat</a:t>
          </a:r>
          <a:r>
            <a:rPr lang="en-US" sz="2000" baseline="0">
              <a:solidFill>
                <a:schemeClr val="dk1"/>
              </a:solidFill>
              <a:effectLst/>
              <a:latin typeface="+mn-lt"/>
              <a:ea typeface="+mn-ea"/>
              <a:cs typeface="+mn-cs"/>
            </a:rPr>
            <a:t> Sinks, and Equipment Types</a:t>
          </a:r>
          <a:endParaRPr lang="en-US" sz="2000">
            <a:effectLst/>
          </a:endParaRPr>
        </a:p>
        <a:p>
          <a:pPr algn="ctr"/>
          <a:r>
            <a:rPr lang="en-US" sz="2000" b="0" baseline="0">
              <a:solidFill>
                <a:srgbClr val="C00000"/>
              </a:solidFill>
              <a:latin typeface="Franklin Gothic Book" panose="020B0503020102020204" pitchFamily="34" charset="0"/>
            </a:rPr>
            <a:t>Click image to return to Introduction Tab</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38100</xdr:colOff>
      <xdr:row>8</xdr:row>
      <xdr:rowOff>25400</xdr:rowOff>
    </xdr:from>
    <xdr:to>
      <xdr:col>37</xdr:col>
      <xdr:colOff>146038</xdr:colOff>
      <xdr:row>69</xdr:row>
      <xdr:rowOff>110789</xdr:rowOff>
    </xdr:to>
    <xdr:pic>
      <xdr:nvPicPr>
        <xdr:cNvPr id="2" name="Picture 1">
          <a:hlinkClick xmlns:r="http://schemas.openxmlformats.org/officeDocument/2006/relationships" r:id="rId1"/>
          <a:extLst>
            <a:ext uri="{FF2B5EF4-FFF2-40B4-BE49-F238E27FC236}">
              <a16:creationId xmlns:a16="http://schemas.microsoft.com/office/drawing/2014/main" id="{AA588D55-4E0A-BFAB-AE2C-16BDFA7D19FF}"/>
            </a:ext>
          </a:extLst>
        </xdr:cNvPr>
        <xdr:cNvPicPr>
          <a:picLocks noChangeAspect="1"/>
        </xdr:cNvPicPr>
      </xdr:nvPicPr>
      <xdr:blipFill>
        <a:blip xmlns:r="http://schemas.openxmlformats.org/officeDocument/2006/relationships" r:embed="rId2"/>
        <a:stretch>
          <a:fillRect/>
        </a:stretch>
      </xdr:blipFill>
      <xdr:spPr>
        <a:xfrm>
          <a:off x="38100" y="1447800"/>
          <a:ext cx="22663138" cy="10931189"/>
        </a:xfrm>
        <a:prstGeom prst="rect">
          <a:avLst/>
        </a:prstGeom>
      </xdr:spPr>
    </xdr:pic>
    <xdr:clientData/>
  </xdr:twoCellAnchor>
  <xdr:twoCellAnchor>
    <xdr:from>
      <xdr:col>13</xdr:col>
      <xdr:colOff>215900</xdr:colOff>
      <xdr:row>3</xdr:row>
      <xdr:rowOff>50801</xdr:rowOff>
    </xdr:from>
    <xdr:to>
      <xdr:col>25</xdr:col>
      <xdr:colOff>457200</xdr:colOff>
      <xdr:row>8</xdr:row>
      <xdr:rowOff>12701</xdr:rowOff>
    </xdr:to>
    <xdr:sp macro="" textlink="">
      <xdr:nvSpPr>
        <xdr:cNvPr id="3" name="TextBox 2">
          <a:extLst>
            <a:ext uri="{FF2B5EF4-FFF2-40B4-BE49-F238E27FC236}">
              <a16:creationId xmlns:a16="http://schemas.microsoft.com/office/drawing/2014/main" id="{DFEA9E2C-FAC4-4030-A9A5-463DE280C671}"/>
            </a:ext>
          </a:extLst>
        </xdr:cNvPr>
        <xdr:cNvSpPr txBox="1"/>
      </xdr:nvSpPr>
      <xdr:spPr>
        <a:xfrm>
          <a:off x="8140700" y="584201"/>
          <a:ext cx="7556500" cy="85090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b="0" baseline="0">
              <a:latin typeface="Franklin Gothic Book" panose="020B0503020102020204" pitchFamily="34" charset="0"/>
            </a:rPr>
            <a:t>Figure 2, Decision and Equipment Evaluation Data Flow Charts. </a:t>
          </a:r>
        </a:p>
        <a:p>
          <a:pPr algn="ctr"/>
          <a:r>
            <a:rPr lang="en-US" sz="2000" b="0" baseline="0">
              <a:solidFill>
                <a:srgbClr val="C00000"/>
              </a:solidFill>
              <a:latin typeface="Franklin Gothic Book" panose="020B0503020102020204" pitchFamily="34" charset="0"/>
            </a:rPr>
            <a:t>Click image to return to Introduction Tab</a:t>
          </a:r>
        </a:p>
      </xdr:txBody>
    </xdr:sp>
    <xdr:clientData/>
  </xdr:twoCellAnchor>
</xdr:wsDr>
</file>

<file path=xl/persons/person.xml><?xml version="1.0" encoding="utf-8"?>
<personList xmlns="http://schemas.microsoft.com/office/spreadsheetml/2018/threadedcomments" xmlns:x="http://schemas.openxmlformats.org/spreadsheetml/2006/main">
  <person displayName="Stevens, Matthew" id="{D7E8CBCC-7802-4433-AFEC-DD12176AA66B}" userId="S::MStevens@trcsolutions.com::f3428645-bf9e-4df2-a4bc-68cfcc8c8c97"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274F9F-A397-441F-A8C8-7699F5F66DDA}" name="Table1" displayName="Table1" ref="B57:B60" totalsRowShown="0" headerRowDxfId="14" dataDxfId="13">
  <autoFilter ref="B57:B60" xr:uid="{43274F9F-A397-441F-A8C8-7699F5F66DDA}"/>
  <tableColumns count="1">
    <tableColumn id="1" xr3:uid="{2D16FA9A-547E-4C5D-8951-3BB51FAC70BB}" name="Load factor time period" dataDxfId="1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0C1CE97-3A21-41F2-9269-FD4C9205FECA}" name="Table3" displayName="Table3" ref="B62:C65" totalsRowShown="0" headerRowDxfId="11" dataDxfId="10">
  <autoFilter ref="B62:C65" xr:uid="{D0C1CE97-3A21-41F2-9269-FD4C9205FECA}"/>
  <tableColumns count="2">
    <tableColumn id="1" xr3:uid="{14FAD8CA-F7C7-443D-8F96-99F0B92C9112}" name="Load Factor Calculation Source" dataDxfId="9"/>
    <tableColumn id="2" xr3:uid="{E3B7C1EA-07DE-429B-BC13-CF6EAC7E60E4}" name="%" dataDxfId="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05" dT="2024-08-27T20:29:53.09" personId="{D7E8CBCC-7802-4433-AFEC-DD12176AA66B}" id="{49E3C056-263B-4A63-B6F3-CA422454BA63}">
    <text>Jose recommended remove</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energy.gov/eere/amo/articles/industrial-heat-pumps-steam-and-fuel-savings" TargetMode="External"/><Relationship Id="rId3" Type="http://schemas.openxmlformats.org/officeDocument/2006/relationships/hyperlink" Target="https://www.eia.gov/dnav/ng/hist/n3035ca3m.htm" TargetMode="External"/><Relationship Id="rId7" Type="http://schemas.openxmlformats.org/officeDocument/2006/relationships/hyperlink" Target="https://www.energy.gov/eere/amo/articles/industrial-heat-pumps-steam-and-fuel-savings" TargetMode="External"/><Relationship Id="rId2" Type="http://schemas.openxmlformats.org/officeDocument/2006/relationships/hyperlink" Target="https://www.swagelok.com/-/media/distributor-media/l-n/nctn/services/best-practice-no66-steam-system-thermal-cycle-efficiency.ashx" TargetMode="External"/><Relationship Id="rId1" Type="http://schemas.openxmlformats.org/officeDocument/2006/relationships/hyperlink" Target="https://www.swagelok.com/-/media/distributor-media/l-n/nctn/services/best-practice-no66-steam-system-thermal-cycle-efficiency.ashx" TargetMode="External"/><Relationship Id="rId6" Type="http://schemas.openxmlformats.org/officeDocument/2006/relationships/hyperlink" Target="https://www.epa.gov/system/files/documents/2023-03/ghg_emission_factors_hub.pdf" TargetMode="External"/><Relationship Id="rId11" Type="http://schemas.openxmlformats.org/officeDocument/2006/relationships/table" Target="../tables/table2.xml"/><Relationship Id="rId5" Type="http://schemas.openxmlformats.org/officeDocument/2006/relationships/hyperlink" Target="https://www.epa.gov/system/files/documents/2023-03/ghg_emission_factors_hub.pdf" TargetMode="External"/><Relationship Id="rId10" Type="http://schemas.openxmlformats.org/officeDocument/2006/relationships/table" Target="../tables/table1.xml"/><Relationship Id="rId4" Type="http://schemas.openxmlformats.org/officeDocument/2006/relationships/hyperlink" Target="https://www.eia.gov/electricity/monthly/epm_table_grapher.php?t=epmt_5_6_a" TargetMode="External"/><Relationship Id="rId9"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13D51-9D4C-4133-99F3-46811C8BC366}">
  <sheetPr codeName="Sheet1"/>
  <dimension ref="A1:O263"/>
  <sheetViews>
    <sheetView zoomScale="80" zoomScaleNormal="80" workbookViewId="0">
      <selection activeCell="D33" sqref="D33"/>
    </sheetView>
  </sheetViews>
  <sheetFormatPr defaultRowHeight="14.45"/>
  <cols>
    <col min="1" max="1" width="29.42578125" customWidth="1"/>
    <col min="2" max="2" width="167.5703125" customWidth="1"/>
    <col min="4" max="4" width="28.85546875" bestFit="1" customWidth="1"/>
    <col min="5" max="5" width="155.140625" bestFit="1" customWidth="1"/>
  </cols>
  <sheetData>
    <row r="1" spans="1:15" s="1" customFormat="1" ht="34.5">
      <c r="A1" s="4" t="s">
        <v>0</v>
      </c>
      <c r="B1" s="5"/>
      <c r="E1" s="5"/>
      <c r="I1" s="5"/>
    </row>
    <row r="2" spans="1:15" s="1" customFormat="1" ht="20.100000000000001">
      <c r="A2" s="6"/>
    </row>
    <row r="3" spans="1:15" s="1" customFormat="1"/>
    <row r="4" spans="1:15" s="3" customFormat="1"/>
    <row r="5" spans="1:15" s="3" customFormat="1" ht="18.95">
      <c r="A5" s="8"/>
      <c r="B5" s="7"/>
      <c r="C5" s="7"/>
      <c r="F5" s="7"/>
      <c r="G5" s="7"/>
      <c r="H5" s="7"/>
      <c r="I5" s="7"/>
      <c r="J5" s="7"/>
      <c r="K5" s="7"/>
      <c r="L5" s="7"/>
      <c r="M5" s="7"/>
      <c r="N5" s="7"/>
      <c r="O5" s="7"/>
    </row>
    <row r="6" spans="1:15" s="3" customFormat="1">
      <c r="A6" s="7"/>
      <c r="B6" s="7"/>
      <c r="C6" s="7"/>
      <c r="F6" s="7"/>
      <c r="G6" s="7"/>
      <c r="H6" s="7"/>
      <c r="I6" s="7"/>
      <c r="J6" s="7"/>
      <c r="K6" s="7"/>
      <c r="L6" s="7"/>
      <c r="M6" s="7"/>
      <c r="N6" s="7"/>
      <c r="O6" s="7"/>
    </row>
    <row r="7" spans="1:15" s="3" customFormat="1">
      <c r="A7" s="7"/>
      <c r="B7" s="7"/>
      <c r="C7" s="7"/>
      <c r="F7" s="7"/>
      <c r="G7" s="7"/>
      <c r="H7" s="7"/>
      <c r="I7" s="7"/>
      <c r="J7" s="7"/>
      <c r="K7" s="7"/>
      <c r="L7" s="7"/>
      <c r="M7" s="7"/>
      <c r="N7" s="7"/>
      <c r="O7" s="7"/>
    </row>
    <row r="8" spans="1:15" s="3" customFormat="1">
      <c r="A8" s="7"/>
      <c r="B8" s="7"/>
      <c r="C8" s="7"/>
      <c r="F8" s="7"/>
      <c r="G8" s="7"/>
      <c r="H8" s="7"/>
      <c r="I8" s="7"/>
      <c r="J8" s="7"/>
      <c r="K8" s="7"/>
      <c r="L8" s="7"/>
      <c r="M8" s="7"/>
      <c r="N8" s="7"/>
      <c r="O8" s="7"/>
    </row>
    <row r="9" spans="1:15" s="3" customFormat="1">
      <c r="A9" s="7"/>
      <c r="B9" s="7"/>
      <c r="C9" s="7"/>
      <c r="F9" s="7"/>
      <c r="G9" s="7"/>
      <c r="H9" s="7"/>
      <c r="I9" s="7"/>
      <c r="J9" s="7"/>
      <c r="K9" s="7"/>
      <c r="L9" s="7"/>
      <c r="M9" s="7"/>
      <c r="N9" s="7"/>
      <c r="O9" s="7"/>
    </row>
    <row r="10" spans="1:15" s="3" customFormat="1">
      <c r="A10" s="7"/>
      <c r="B10" s="7"/>
      <c r="C10" s="7"/>
      <c r="F10" s="7"/>
      <c r="G10" s="7"/>
      <c r="H10" s="7"/>
      <c r="I10" s="7"/>
      <c r="J10" s="7"/>
      <c r="K10" s="7"/>
      <c r="L10" s="7"/>
      <c r="M10" s="7"/>
      <c r="N10" s="7"/>
      <c r="O10" s="7"/>
    </row>
    <row r="11" spans="1:15" s="3" customFormat="1">
      <c r="A11" s="7"/>
      <c r="B11" s="7"/>
      <c r="C11" s="7"/>
      <c r="F11" s="7"/>
      <c r="G11" s="7"/>
      <c r="H11" s="7"/>
      <c r="I11" s="7"/>
      <c r="J11" s="7"/>
      <c r="K11" s="7"/>
      <c r="L11" s="7"/>
      <c r="M11" s="7"/>
      <c r="N11" s="7"/>
      <c r="O11" s="7"/>
    </row>
    <row r="12" spans="1:15" s="3" customFormat="1"/>
    <row r="13" spans="1:15" s="3" customFormat="1"/>
    <row r="14" spans="1:15" s="3" customFormat="1" ht="15">
      <c r="C14" s="9"/>
    </row>
    <row r="15" spans="1:15" s="3" customFormat="1" ht="15">
      <c r="C15" s="9"/>
    </row>
    <row r="16" spans="1:15" s="3" customFormat="1" ht="15">
      <c r="C16" s="9"/>
    </row>
    <row r="17" spans="1:2" s="3" customFormat="1"/>
    <row r="18" spans="1:2" s="3" customFormat="1"/>
    <row r="19" spans="1:2" s="3" customFormat="1"/>
    <row r="20" spans="1:2" s="3" customFormat="1"/>
    <row r="21" spans="1:2" s="3" customFormat="1"/>
    <row r="22" spans="1:2" s="3" customFormat="1"/>
    <row r="23" spans="1:2" s="3" customFormat="1"/>
    <row r="24" spans="1:2" s="3" customFormat="1"/>
    <row r="25" spans="1:2" s="3" customFormat="1"/>
    <row r="26" spans="1:2" s="3" customFormat="1"/>
    <row r="27" spans="1:2" s="3" customFormat="1"/>
    <row r="28" spans="1:2" s="3" customFormat="1" ht="24.95">
      <c r="A28" s="133"/>
    </row>
    <row r="29" spans="1:2" s="3" customFormat="1" ht="24.95">
      <c r="A29" s="133"/>
    </row>
    <row r="30" spans="1:2" s="3" customFormat="1" ht="24.95">
      <c r="A30" s="133"/>
    </row>
    <row r="31" spans="1:2" s="3" customFormat="1" ht="27">
      <c r="A31" s="188" t="s">
        <v>1</v>
      </c>
    </row>
    <row r="32" spans="1:2" s="3" customFormat="1" ht="20.100000000000001">
      <c r="A32" s="189" t="s">
        <v>2</v>
      </c>
      <c r="B32" s="189" t="s">
        <v>3</v>
      </c>
    </row>
    <row r="33" spans="1:2" s="3" customFormat="1" ht="20.100000000000001">
      <c r="A33" s="190" t="s">
        <v>4</v>
      </c>
      <c r="B33" s="191" t="s">
        <v>5</v>
      </c>
    </row>
    <row r="34" spans="1:2" s="3" customFormat="1" ht="20.100000000000001">
      <c r="A34" s="192" t="s">
        <v>6</v>
      </c>
      <c r="B34" s="193" t="s">
        <v>7</v>
      </c>
    </row>
    <row r="35" spans="1:2" s="3" customFormat="1" ht="20.100000000000001">
      <c r="A35" s="194" t="s">
        <v>8</v>
      </c>
      <c r="B35" s="195" t="s">
        <v>9</v>
      </c>
    </row>
    <row r="36" spans="1:2" s="3" customFormat="1" ht="20.100000000000001">
      <c r="A36" s="196" t="s">
        <v>10</v>
      </c>
      <c r="B36" s="195" t="s">
        <v>11</v>
      </c>
    </row>
    <row r="37" spans="1:2" s="3" customFormat="1" ht="20.100000000000001">
      <c r="A37" s="197" t="s">
        <v>12</v>
      </c>
      <c r="B37" s="193" t="s">
        <v>13</v>
      </c>
    </row>
    <row r="38" spans="1:2" s="3" customFormat="1" ht="20.100000000000001">
      <c r="A38" s="198" t="s">
        <v>14</v>
      </c>
      <c r="B38" s="193" t="s">
        <v>15</v>
      </c>
    </row>
    <row r="39" spans="1:2" s="3" customFormat="1" ht="20.100000000000001">
      <c r="A39" s="199" t="s">
        <v>16</v>
      </c>
      <c r="B39" s="193" t="s">
        <v>17</v>
      </c>
    </row>
    <row r="40" spans="1:2" s="3" customFormat="1" ht="20.100000000000001">
      <c r="A40" s="200" t="s">
        <v>18</v>
      </c>
      <c r="B40" s="193" t="s">
        <v>19</v>
      </c>
    </row>
    <row r="41" spans="1:2" s="3" customFormat="1"/>
    <row r="42" spans="1:2" s="3" customFormat="1"/>
    <row r="43" spans="1:2" s="3" customFormat="1"/>
    <row r="44" spans="1:2" s="3" customFormat="1"/>
    <row r="45" spans="1:2" s="3" customFormat="1"/>
    <row r="46" spans="1:2" s="3" customFormat="1"/>
    <row r="47" spans="1:2" s="3" customFormat="1"/>
    <row r="48" spans="1:2"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pans="4:5" s="3" customFormat="1"/>
    <row r="258" spans="4:5" s="3" customFormat="1"/>
    <row r="259" spans="4:5" s="3" customFormat="1"/>
    <row r="260" spans="4:5" s="3" customFormat="1"/>
    <row r="261" spans="4:5" s="3" customFormat="1"/>
    <row r="262" spans="4:5" s="3" customFormat="1"/>
    <row r="263" spans="4:5">
      <c r="D263" s="3"/>
      <c r="E263" s="3"/>
    </row>
  </sheetData>
  <sheetProtection algorithmName="SHA-512" hashValue="QgjYW95y1jGE1usYrRmJ1YHYv3jO43kEPGGTSl9qA4RbX48IoWgaN5du1zEXxSkK5h3z0AR/X4qqoTx5lFfCLg==" saltValue="oxcwIfL2lT9+i3XEauglB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7C2C5-5C9A-4B3D-BD92-840DC646560B}">
  <sheetPr codeName="Sheet4">
    <tabColor theme="8"/>
  </sheetPr>
  <dimension ref="A1:I164"/>
  <sheetViews>
    <sheetView tabSelected="1" zoomScale="130" zoomScaleNormal="130" workbookViewId="0">
      <selection activeCell="E87" sqref="E87"/>
    </sheetView>
  </sheetViews>
  <sheetFormatPr defaultRowHeight="14.45"/>
  <sheetData>
    <row r="1" spans="1:9" s="1" customFormat="1" ht="34.5">
      <c r="A1" s="4" t="s">
        <v>0</v>
      </c>
      <c r="B1" s="5"/>
      <c r="E1" s="5"/>
      <c r="I1" s="5"/>
    </row>
    <row r="2" spans="1:9" s="1" customFormat="1" ht="20.100000000000001">
      <c r="A2" s="6" t="s">
        <v>20</v>
      </c>
    </row>
    <row r="3" spans="1:9" s="1" customFormat="1"/>
    <row r="4" spans="1:9" s="3" customFormat="1"/>
    <row r="5" spans="1:9" s="3" customFormat="1"/>
    <row r="6" spans="1:9" s="3" customFormat="1"/>
    <row r="7" spans="1:9" s="3" customFormat="1"/>
    <row r="8" spans="1:9" s="3" customFormat="1"/>
    <row r="9" spans="1:9" s="3" customFormat="1"/>
    <row r="10" spans="1:9" s="3" customFormat="1"/>
    <row r="11" spans="1:9" s="3" customFormat="1"/>
    <row r="12" spans="1:9" s="3" customFormat="1"/>
    <row r="13" spans="1:9" s="3" customFormat="1"/>
    <row r="14" spans="1:9" s="3" customFormat="1"/>
    <row r="15" spans="1:9" s="3" customFormat="1"/>
    <row r="16" spans="1:9" s="3" customFormat="1"/>
    <row r="17" s="3" customFormat="1"/>
    <row r="18" s="3" customFormat="1"/>
    <row r="19" s="3" customFormat="1"/>
    <row r="20" s="3" customFormat="1"/>
    <row r="21" s="3" customFormat="1"/>
    <row r="22" s="3" customFormat="1"/>
    <row r="23" s="3" customFormat="1"/>
    <row r="24" s="3" customFormat="1"/>
    <row r="25" s="3" customFormat="1"/>
    <row r="26" s="3" customFormat="1"/>
    <row r="27" s="3" customFormat="1"/>
    <row r="28" s="3" customFormat="1"/>
    <row r="29" s="3" customFormat="1"/>
    <row r="30" s="3" customFormat="1"/>
    <row r="31" s="3" customFormat="1"/>
    <row r="32"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sheetData>
  <sheetProtection algorithmName="SHA-512" hashValue="mMzwBvx/l4BAN00iiwrjbpfLN6w4mYRE/QY4PR/RPe3Jc8XvUeQFZko6TqX5B9azvPvJFnO1hlu+xS9xcIYMNw==" saltValue="qmAyrHcHyYQfB1eW4E/0Ug=="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DCBF1-7D57-46CD-AACC-AF8736928A88}">
  <sheetPr codeName="Sheet5">
    <tabColor theme="9"/>
  </sheetPr>
  <dimension ref="A1:T110"/>
  <sheetViews>
    <sheetView topLeftCell="A10" zoomScale="55" zoomScaleNormal="55" workbookViewId="0">
      <selection activeCell="E83" sqref="E83"/>
    </sheetView>
  </sheetViews>
  <sheetFormatPr defaultColWidth="8.85546875" defaultRowHeight="15"/>
  <cols>
    <col min="1" max="1" width="13.5703125" style="10" customWidth="1"/>
    <col min="2" max="2" width="48.42578125" style="10" bestFit="1" customWidth="1"/>
    <col min="3" max="3" width="36.140625" style="10" customWidth="1"/>
    <col min="4" max="4" width="13" style="10" customWidth="1"/>
    <col min="5" max="5" width="15.85546875" style="10" bestFit="1" customWidth="1"/>
    <col min="6" max="6" width="15.85546875" style="10" customWidth="1"/>
    <col min="7" max="7" width="31.85546875" style="10" customWidth="1"/>
    <col min="8" max="8" width="13" style="10" customWidth="1"/>
    <col min="9" max="10" width="8.85546875" style="10"/>
    <col min="11" max="11" width="26.140625" style="10" customWidth="1"/>
    <col min="12" max="12" width="12.5703125" style="10" customWidth="1"/>
    <col min="13" max="14" width="8.85546875" style="10"/>
    <col min="15" max="15" width="23.5703125" style="10" customWidth="1"/>
    <col min="16" max="16" width="19.85546875" style="10" customWidth="1"/>
    <col min="17" max="17" width="16.85546875" style="10" customWidth="1"/>
    <col min="18" max="18" width="8.85546875" style="10"/>
    <col min="19" max="19" width="22.140625" style="10" bestFit="1" customWidth="1"/>
    <col min="20" max="20" width="18.140625" style="10" bestFit="1" customWidth="1"/>
    <col min="21" max="16384" width="8.85546875" style="10"/>
  </cols>
  <sheetData>
    <row r="1" spans="1:10" s="11" customFormat="1" ht="34.5">
      <c r="A1" s="4" t="s">
        <v>0</v>
      </c>
      <c r="B1" s="5"/>
      <c r="C1" s="5"/>
      <c r="F1" s="5"/>
      <c r="J1" s="5"/>
    </row>
    <row r="2" spans="1:10" s="11" customFormat="1" ht="20.100000000000001">
      <c r="A2" s="6" t="s">
        <v>21</v>
      </c>
    </row>
    <row r="3" spans="1:10" s="11" customFormat="1"/>
    <row r="4" spans="1:10" s="9" customFormat="1"/>
    <row r="5" spans="1:10" s="9" customFormat="1"/>
    <row r="6" spans="1:10" s="9" customFormat="1"/>
    <row r="7" spans="1:10" s="9" customFormat="1" ht="22.5">
      <c r="A7" s="12"/>
    </row>
    <row r="8" spans="1:10" s="9" customFormat="1" ht="15.95">
      <c r="A8" s="23"/>
    </row>
    <row r="9" spans="1:10" s="9" customFormat="1"/>
    <row r="10" spans="1:10" s="9" customFormat="1"/>
    <row r="11" spans="1:10" s="9" customFormat="1"/>
    <row r="12" spans="1:10" s="9" customFormat="1"/>
    <row r="13" spans="1:10" s="9" customFormat="1"/>
    <row r="14" spans="1:10" s="9" customFormat="1"/>
    <row r="15" spans="1:10" s="9" customFormat="1"/>
    <row r="16" spans="1:10" s="9" customFormat="1"/>
    <row r="17" spans="2:17" s="9" customFormat="1"/>
    <row r="18" spans="2:17" s="9" customFormat="1"/>
    <row r="19" spans="2:17" s="9" customFormat="1"/>
    <row r="20" spans="2:17" s="9" customFormat="1"/>
    <row r="21" spans="2:17" s="9" customFormat="1"/>
    <row r="22" spans="2:17" s="9" customFormat="1"/>
    <row r="23" spans="2:17" s="9" customFormat="1"/>
    <row r="24" spans="2:17" s="9" customFormat="1" ht="26.45" thickBot="1">
      <c r="B24" s="163" t="s">
        <v>22</v>
      </c>
      <c r="C24" s="3"/>
      <c r="D24" s="3"/>
      <c r="E24" s="3"/>
    </row>
    <row r="25" spans="2:17" s="9" customFormat="1" ht="15.6" thickTop="1">
      <c r="B25" s="61" t="s">
        <v>23</v>
      </c>
      <c r="C25" s="3"/>
      <c r="D25" s="3"/>
      <c r="E25" s="3"/>
    </row>
    <row r="26" spans="2:17" s="9" customFormat="1">
      <c r="B26" s="161" t="s">
        <v>24</v>
      </c>
    </row>
    <row r="27" spans="2:17" s="9" customFormat="1">
      <c r="B27" s="162" t="s">
        <v>25</v>
      </c>
    </row>
    <row r="28" spans="2:17" s="9" customFormat="1">
      <c r="B28" s="68" t="s">
        <v>26</v>
      </c>
    </row>
    <row r="29" spans="2:17" s="9" customFormat="1">
      <c r="B29" s="160"/>
    </row>
    <row r="30" spans="2:17" s="9" customFormat="1" ht="63">
      <c r="B30" s="228" t="s">
        <v>27</v>
      </c>
      <c r="C30" s="228"/>
      <c r="G30" s="229" t="s">
        <v>28</v>
      </c>
      <c r="H30" s="230"/>
      <c r="I30" s="230"/>
      <c r="J30" s="230"/>
      <c r="K30" s="230"/>
      <c r="L30" s="230"/>
      <c r="M30" s="230"/>
      <c r="N30" s="230"/>
      <c r="O30" s="230"/>
      <c r="P30" s="230"/>
      <c r="Q30" s="230"/>
    </row>
    <row r="31" spans="2:17" s="9" customFormat="1" ht="25.35" customHeight="1">
      <c r="B31" s="39"/>
      <c r="C31" s="39"/>
      <c r="F31" s="3"/>
    </row>
    <row r="32" spans="2:17" s="9" customFormat="1" ht="25.35" customHeight="1">
      <c r="B32" s="39"/>
      <c r="C32" s="39"/>
      <c r="F32" s="3"/>
      <c r="K32" s="39"/>
      <c r="P32" s="39"/>
    </row>
    <row r="33" spans="2:20" s="9" customFormat="1" ht="25.35" customHeight="1">
      <c r="B33" s="45" t="s">
        <v>29</v>
      </c>
      <c r="C33" s="42"/>
      <c r="F33" s="3"/>
      <c r="K33" s="39"/>
      <c r="P33" s="39"/>
    </row>
    <row r="34" spans="2:20" s="9" customFormat="1" ht="25.35" customHeight="1">
      <c r="B34" s="47" t="s">
        <v>30</v>
      </c>
      <c r="C34" s="2" t="s">
        <v>31</v>
      </c>
      <c r="D34" s="2" t="s">
        <v>32</v>
      </c>
      <c r="F34" s="3"/>
      <c r="K34" s="39"/>
      <c r="P34" s="39"/>
    </row>
    <row r="35" spans="2:20" s="9" customFormat="1" ht="25.35" customHeight="1">
      <c r="B35" s="28" t="s">
        <v>33</v>
      </c>
      <c r="C35" s="86">
        <v>1.42</v>
      </c>
      <c r="D35" s="208">
        <v>1.42</v>
      </c>
      <c r="F35" s="3"/>
      <c r="K35" s="39"/>
      <c r="P35" s="39"/>
    </row>
    <row r="36" spans="2:20" s="9" customFormat="1" ht="23.1">
      <c r="B36" s="28" t="s">
        <v>34</v>
      </c>
      <c r="C36" s="87">
        <v>0.23699999999999999</v>
      </c>
      <c r="D36" s="208">
        <v>0.24</v>
      </c>
      <c r="E36" s="44"/>
      <c r="F36" s="44"/>
      <c r="G36" s="50"/>
      <c r="H36" s="44"/>
      <c r="I36" s="44"/>
      <c r="J36" s="44"/>
      <c r="K36" s="43"/>
      <c r="L36" s="116" t="s">
        <v>35</v>
      </c>
      <c r="M36" s="44"/>
      <c r="N36" s="44"/>
      <c r="O36" s="44"/>
      <c r="P36" s="43"/>
      <c r="Q36" s="44"/>
      <c r="R36" s="44"/>
      <c r="S36" s="44"/>
      <c r="T36" s="44"/>
    </row>
    <row r="37" spans="2:20" s="9" customFormat="1" ht="23.1">
      <c r="B37" s="13"/>
      <c r="C37" s="58"/>
      <c r="E37" s="44"/>
      <c r="F37" s="44"/>
      <c r="G37" s="50"/>
      <c r="H37" s="44"/>
      <c r="I37" s="44"/>
      <c r="J37" s="44"/>
      <c r="K37" s="43"/>
      <c r="L37" s="51"/>
      <c r="M37" s="44"/>
      <c r="N37" s="44"/>
      <c r="O37" s="44"/>
      <c r="P37" s="43"/>
      <c r="Q37" s="44"/>
      <c r="R37" s="44"/>
      <c r="S37" s="44"/>
      <c r="T37" s="44"/>
    </row>
    <row r="38" spans="2:20" s="9" customFormat="1" ht="21.6" thickBot="1">
      <c r="G38" s="88" t="s">
        <v>36</v>
      </c>
      <c r="H38" s="89"/>
      <c r="I38" s="89"/>
      <c r="J38" s="89"/>
      <c r="K38" s="89"/>
      <c r="L38" s="89"/>
      <c r="O38" s="90" t="s">
        <v>37</v>
      </c>
      <c r="P38" s="90"/>
      <c r="Q38" s="91"/>
    </row>
    <row r="39" spans="2:20" s="9" customFormat="1" ht="20.45" thickTop="1">
      <c r="B39" s="45" t="s">
        <v>35</v>
      </c>
      <c r="C39" s="45"/>
      <c r="D39" s="43"/>
      <c r="G39" s="16" t="s">
        <v>38</v>
      </c>
      <c r="H39" s="15"/>
      <c r="I39" s="17"/>
      <c r="J39" s="18"/>
      <c r="K39" s="19" t="s">
        <v>39</v>
      </c>
      <c r="L39" s="40"/>
      <c r="M39" s="17"/>
    </row>
    <row r="40" spans="2:20" s="9" customFormat="1" ht="18.95">
      <c r="B40" s="38" t="s">
        <v>30</v>
      </c>
      <c r="C40" s="38" t="s">
        <v>40</v>
      </c>
      <c r="D40" s="38" t="s">
        <v>32</v>
      </c>
      <c r="G40" s="48" t="s">
        <v>30</v>
      </c>
      <c r="H40" s="49" t="s">
        <v>32</v>
      </c>
      <c r="I40" s="17"/>
      <c r="J40" s="18"/>
      <c r="K40" s="107" t="s">
        <v>30</v>
      </c>
      <c r="L40" s="108" t="s">
        <v>32</v>
      </c>
      <c r="M40" s="17"/>
      <c r="O40" s="35" t="s">
        <v>30</v>
      </c>
      <c r="P40" s="35" t="s">
        <v>41</v>
      </c>
      <c r="Q40" s="35" t="s">
        <v>42</v>
      </c>
    </row>
    <row r="41" spans="2:20" s="9" customFormat="1">
      <c r="B41" s="28" t="s">
        <v>43</v>
      </c>
      <c r="C41" s="170" t="s">
        <v>37</v>
      </c>
      <c r="D41" s="209">
        <v>1000</v>
      </c>
      <c r="G41" s="26" t="s">
        <v>44</v>
      </c>
      <c r="H41" s="55">
        <f>ASHPWH!Natural_Gas__therm</f>
        <v>2.5006058020477817</v>
      </c>
      <c r="I41" s="82"/>
      <c r="J41" s="18"/>
      <c r="K41" s="36" t="s">
        <v>45</v>
      </c>
      <c r="L41" s="147">
        <f>ASHPWH!E55</f>
        <v>3.5508602389078501</v>
      </c>
      <c r="O41" s="26" t="s">
        <v>46</v>
      </c>
      <c r="P41" s="55">
        <f>ASHPWH!B67</f>
        <v>2.0004846416382254</v>
      </c>
      <c r="Q41" s="56">
        <f>ASHPWH!B68</f>
        <v>16.928288808664263</v>
      </c>
    </row>
    <row r="42" spans="2:20" s="9" customFormat="1">
      <c r="B42" s="28" t="s">
        <v>47</v>
      </c>
      <c r="C42" s="170" t="s">
        <v>37</v>
      </c>
      <c r="D42" s="209">
        <v>1250</v>
      </c>
      <c r="G42" s="26" t="s">
        <v>48</v>
      </c>
      <c r="H42" s="57">
        <f>ASHPWH!Electricity_Heat_Pump__kWh</f>
        <v>21.160361010830329</v>
      </c>
      <c r="I42" s="82"/>
      <c r="J42" s="18"/>
      <c r="K42" s="36" t="s">
        <v>49</v>
      </c>
      <c r="L42" s="147">
        <f>ASHPWH!E56</f>
        <v>5.0784866425992785</v>
      </c>
      <c r="O42" s="26" t="s">
        <v>50</v>
      </c>
      <c r="P42" s="147">
        <f>ASHPWH!E67</f>
        <v>2.8406881911262802</v>
      </c>
      <c r="Q42" s="147">
        <f>ASHPWH!E68</f>
        <v>4.0627893140794233</v>
      </c>
    </row>
    <row r="43" spans="2:20" s="9" customFormat="1">
      <c r="B43" s="28" t="s">
        <v>51</v>
      </c>
      <c r="C43" s="171" t="s">
        <v>36</v>
      </c>
      <c r="D43" s="209">
        <v>500</v>
      </c>
      <c r="H43" s="105"/>
      <c r="I43" s="18"/>
      <c r="J43" s="18"/>
      <c r="K43" s="18"/>
      <c r="L43" s="40"/>
      <c r="M43" s="18"/>
      <c r="O43" s="26" t="s">
        <v>52</v>
      </c>
      <c r="P43" s="154">
        <f>ASHPWH!B78</f>
        <v>2500.6058020477817</v>
      </c>
      <c r="Q43" s="155">
        <f>ASHPWH!B79</f>
        <v>21160.361010830329</v>
      </c>
    </row>
    <row r="44" spans="2:20" s="9" customFormat="1">
      <c r="B44" s="28" t="s">
        <v>53</v>
      </c>
      <c r="C44" s="171" t="s">
        <v>36</v>
      </c>
      <c r="D44" s="210">
        <v>0.8</v>
      </c>
      <c r="G44" s="19" t="s">
        <v>54</v>
      </c>
      <c r="H44" s="17"/>
      <c r="I44" s="82"/>
      <c r="J44" s="18"/>
      <c r="O44" s="26" t="s">
        <v>55</v>
      </c>
      <c r="P44" s="169">
        <f>ASHPWH!E78</f>
        <v>3550.8602389078501</v>
      </c>
      <c r="Q44" s="169">
        <f>ASHPWH!E79</f>
        <v>5078.4866425992786</v>
      </c>
    </row>
    <row r="45" spans="2:20" s="9" customFormat="1">
      <c r="B45" s="28" t="s">
        <v>56</v>
      </c>
      <c r="C45" s="171" t="s">
        <v>36</v>
      </c>
      <c r="D45" s="209">
        <v>2.77</v>
      </c>
      <c r="G45" s="48" t="s">
        <v>30</v>
      </c>
      <c r="H45" s="106" t="s">
        <v>32</v>
      </c>
      <c r="I45" s="82"/>
      <c r="J45" s="18"/>
      <c r="M45" s="17"/>
      <c r="P45" s="82"/>
      <c r="Q45" s="82"/>
    </row>
    <row r="46" spans="2:20" s="9" customFormat="1">
      <c r="B46" s="28" t="s">
        <v>57</v>
      </c>
      <c r="C46" s="171" t="s">
        <v>36</v>
      </c>
      <c r="D46" s="213">
        <f>ASHPWH!B46</f>
        <v>0.5</v>
      </c>
      <c r="G46" s="26" t="s">
        <v>45</v>
      </c>
      <c r="H46" s="204">
        <f>ASHPWH!B59</f>
        <v>13.26821438566553</v>
      </c>
      <c r="I46" s="82"/>
      <c r="J46" s="18"/>
      <c r="P46" s="82"/>
      <c r="Q46" s="82"/>
    </row>
    <row r="47" spans="2:20" s="9" customFormat="1">
      <c r="G47" s="26" t="s">
        <v>49</v>
      </c>
      <c r="H47" s="204">
        <f>ASHPWH!B60</f>
        <v>5.1033500667870042</v>
      </c>
      <c r="I47" s="82"/>
      <c r="J47" s="18"/>
      <c r="P47" s="82"/>
      <c r="Q47" s="82"/>
    </row>
    <row r="48" spans="2:20" s="9" customFormat="1">
      <c r="H48" s="82"/>
      <c r="I48" s="82"/>
      <c r="J48" s="82"/>
      <c r="K48" s="82"/>
      <c r="L48" s="82"/>
      <c r="P48" s="82"/>
      <c r="Q48" s="82"/>
    </row>
    <row r="49" spans="1:17" s="9" customFormat="1" ht="22.5">
      <c r="H49" s="82"/>
      <c r="I49" s="82"/>
      <c r="J49" s="82"/>
      <c r="K49" s="82"/>
      <c r="L49" s="117" t="s">
        <v>58</v>
      </c>
      <c r="P49" s="82"/>
      <c r="Q49" s="82"/>
    </row>
    <row r="50" spans="1:17" s="9" customFormat="1" ht="21.6" thickBot="1">
      <c r="G50" s="92" t="s">
        <v>36</v>
      </c>
      <c r="H50" s="109"/>
      <c r="I50" s="109"/>
      <c r="J50" s="109"/>
      <c r="K50" s="109"/>
      <c r="L50" s="109"/>
      <c r="O50" s="90" t="s">
        <v>37</v>
      </c>
      <c r="P50" s="111"/>
      <c r="Q50" s="112"/>
    </row>
    <row r="51" spans="1:17" s="9" customFormat="1" ht="15.6" thickTop="1">
      <c r="G51" s="19" t="s">
        <v>38</v>
      </c>
      <c r="H51" s="105"/>
      <c r="I51" s="17"/>
      <c r="J51" s="18"/>
      <c r="K51" s="19"/>
      <c r="L51" s="40"/>
      <c r="P51" s="82"/>
      <c r="Q51" s="82"/>
    </row>
    <row r="52" spans="1:17" s="9" customFormat="1" ht="20.100000000000001">
      <c r="B52" s="45" t="s">
        <v>58</v>
      </c>
      <c r="C52" s="45"/>
      <c r="D52" s="46"/>
      <c r="G52" s="48" t="s">
        <v>30</v>
      </c>
      <c r="H52" s="106" t="s">
        <v>32</v>
      </c>
      <c r="I52" s="17"/>
      <c r="J52" s="18"/>
      <c r="K52" s="19" t="s">
        <v>39</v>
      </c>
      <c r="L52" s="40"/>
      <c r="M52" s="17"/>
      <c r="O52" s="35" t="s">
        <v>30</v>
      </c>
      <c r="P52" s="113" t="s">
        <v>41</v>
      </c>
      <c r="Q52" s="113" t="s">
        <v>42</v>
      </c>
    </row>
    <row r="53" spans="1:17" s="9" customFormat="1" ht="18.95">
      <c r="B53" s="38" t="s">
        <v>30</v>
      </c>
      <c r="C53" s="2" t="s">
        <v>40</v>
      </c>
      <c r="D53" s="2" t="s">
        <v>32</v>
      </c>
      <c r="G53" s="28" t="s">
        <v>44</v>
      </c>
      <c r="H53" s="55">
        <f>SGHP!Natural_gas_therm</f>
        <v>8.3720136518771326</v>
      </c>
      <c r="I53" s="82"/>
      <c r="J53" s="18"/>
      <c r="K53" s="110" t="s">
        <v>30</v>
      </c>
      <c r="L53" s="106" t="s">
        <v>32</v>
      </c>
      <c r="O53" s="26" t="s">
        <v>46</v>
      </c>
      <c r="P53" s="157">
        <f>SGHP!B64</f>
        <v>6.6976109215017061</v>
      </c>
      <c r="Q53" s="157">
        <f>SGHP!B65</f>
        <v>58.145185185185191</v>
      </c>
    </row>
    <row r="54" spans="1:17" s="9" customFormat="1">
      <c r="B54" s="28" t="s">
        <v>59</v>
      </c>
      <c r="C54" s="171" t="s">
        <v>36</v>
      </c>
      <c r="D54" s="209">
        <v>2.7</v>
      </c>
      <c r="G54" s="28" t="s">
        <v>48</v>
      </c>
      <c r="H54" s="206">
        <f>SGHP!Heat_pump_kwh</f>
        <v>72.681481481481484</v>
      </c>
      <c r="I54" s="82"/>
      <c r="J54" s="18"/>
      <c r="K54" s="29" t="s">
        <v>45</v>
      </c>
      <c r="L54" s="147">
        <f>SGHP!E52</f>
        <v>11.888259385665528</v>
      </c>
      <c r="O54" s="26" t="s">
        <v>50</v>
      </c>
      <c r="P54" s="169">
        <f>SGHP!E64</f>
        <v>9.5106075085324218</v>
      </c>
      <c r="Q54" s="169">
        <f>SGHP!E65</f>
        <v>13.954844444444443</v>
      </c>
    </row>
    <row r="55" spans="1:17" s="9" customFormat="1">
      <c r="B55" s="28" t="s">
        <v>60</v>
      </c>
      <c r="C55" s="171" t="s">
        <v>36</v>
      </c>
      <c r="D55" s="209">
        <v>50</v>
      </c>
      <c r="H55" s="105"/>
      <c r="I55" s="18"/>
      <c r="J55" s="18"/>
      <c r="K55" s="29" t="s">
        <v>49</v>
      </c>
      <c r="L55" s="147">
        <f>SGHP!E53</f>
        <v>17.443555555555555</v>
      </c>
      <c r="M55" s="18"/>
      <c r="O55" s="26" t="s">
        <v>52</v>
      </c>
      <c r="P55" s="154">
        <f>SGHP!B75</f>
        <v>8372.0136518771324</v>
      </c>
      <c r="Q55" s="155">
        <f>SGHP!B76</f>
        <v>72681.481481481489</v>
      </c>
    </row>
    <row r="56" spans="1:17" s="9" customFormat="1">
      <c r="A56" s="15"/>
      <c r="B56" s="28" t="s">
        <v>43</v>
      </c>
      <c r="C56" s="170" t="s">
        <v>37</v>
      </c>
      <c r="D56" s="209">
        <v>1000</v>
      </c>
      <c r="G56" s="19" t="s">
        <v>54</v>
      </c>
      <c r="H56" s="105"/>
      <c r="I56" s="17"/>
      <c r="J56" s="18"/>
      <c r="M56" s="17"/>
      <c r="O56" s="26" t="s">
        <v>55</v>
      </c>
      <c r="P56" s="169">
        <f>SGHP!E75</f>
        <v>11888.259385665528</v>
      </c>
      <c r="Q56" s="169">
        <f>SGHP!E76</f>
        <v>17443.555555555555</v>
      </c>
    </row>
    <row r="57" spans="1:17" s="9" customFormat="1">
      <c r="A57" s="15"/>
      <c r="B57" s="28" t="s">
        <v>47</v>
      </c>
      <c r="C57" s="170" t="s">
        <v>37</v>
      </c>
      <c r="D57" s="211">
        <v>1250</v>
      </c>
      <c r="G57" s="48" t="s">
        <v>30</v>
      </c>
      <c r="H57" s="106" t="s">
        <v>32</v>
      </c>
      <c r="I57" s="17"/>
      <c r="J57" s="18"/>
      <c r="M57" s="17"/>
      <c r="O57" s="15"/>
      <c r="P57" s="114"/>
      <c r="Q57" s="114"/>
    </row>
    <row r="58" spans="1:17" s="9" customFormat="1">
      <c r="A58" s="15"/>
      <c r="B58" s="28" t="s">
        <v>61</v>
      </c>
      <c r="C58" s="171" t="s">
        <v>36</v>
      </c>
      <c r="D58" s="212">
        <v>0.8</v>
      </c>
      <c r="G58" s="28" t="s">
        <v>45</v>
      </c>
      <c r="H58" s="204">
        <f>SGHP!B56</f>
        <v>44.421904436860068</v>
      </c>
      <c r="I58" s="82"/>
      <c r="J58" s="18"/>
      <c r="P58" s="82"/>
      <c r="Q58" s="82"/>
    </row>
    <row r="59" spans="1:17" s="9" customFormat="1">
      <c r="A59" s="15"/>
      <c r="B59" s="28" t="s">
        <v>57</v>
      </c>
      <c r="C59" s="171" t="s">
        <v>36</v>
      </c>
      <c r="D59" s="213">
        <f>SGHP!B46</f>
        <v>0.5</v>
      </c>
      <c r="G59" s="28" t="s">
        <v>49</v>
      </c>
      <c r="H59" s="204">
        <f>SGHP!B57</f>
        <v>17.528956296296297</v>
      </c>
      <c r="I59" s="82"/>
      <c r="J59" s="18"/>
      <c r="P59" s="82"/>
      <c r="Q59" s="82"/>
    </row>
    <row r="60" spans="1:17" s="9" customFormat="1">
      <c r="A60" s="21"/>
      <c r="H60" s="82"/>
      <c r="I60" s="82"/>
      <c r="J60" s="82"/>
      <c r="K60" s="82"/>
      <c r="L60" s="82"/>
      <c r="P60" s="82"/>
      <c r="Q60" s="82"/>
    </row>
    <row r="61" spans="1:17" s="9" customFormat="1" ht="22.5">
      <c r="H61" s="82"/>
      <c r="I61" s="82"/>
      <c r="J61" s="82"/>
      <c r="K61" s="82"/>
      <c r="L61" s="118" t="s">
        <v>62</v>
      </c>
      <c r="P61" s="82"/>
      <c r="Q61" s="82"/>
    </row>
    <row r="62" spans="1:17" s="9" customFormat="1" ht="21.6" thickBot="1">
      <c r="G62" s="92" t="s">
        <v>63</v>
      </c>
      <c r="H62" s="109"/>
      <c r="I62" s="109"/>
      <c r="J62" s="109"/>
      <c r="K62" s="109"/>
      <c r="L62" s="109"/>
      <c r="O62" s="90" t="s">
        <v>64</v>
      </c>
      <c r="P62" s="111"/>
      <c r="Q62" s="112"/>
    </row>
    <row r="63" spans="1:17" s="9" customFormat="1" ht="15.6" thickTop="1">
      <c r="G63" s="19" t="s">
        <v>38</v>
      </c>
      <c r="H63" s="105"/>
      <c r="I63" s="82"/>
      <c r="J63" s="18"/>
      <c r="K63" s="19" t="s">
        <v>39</v>
      </c>
      <c r="L63" s="40"/>
      <c r="P63" s="82"/>
      <c r="Q63" s="82"/>
    </row>
    <row r="64" spans="1:17" s="9" customFormat="1" ht="20.100000000000001">
      <c r="B64" s="45" t="s">
        <v>62</v>
      </c>
      <c r="C64" s="45"/>
      <c r="D64" s="46"/>
      <c r="E64" s="231" t="s">
        <v>65</v>
      </c>
      <c r="G64" s="48" t="s">
        <v>30</v>
      </c>
      <c r="H64" s="106" t="s">
        <v>32</v>
      </c>
      <c r="I64" s="17"/>
      <c r="J64" s="18"/>
      <c r="K64" s="110" t="s">
        <v>30</v>
      </c>
      <c r="L64" s="106" t="s">
        <v>32</v>
      </c>
      <c r="M64" s="17"/>
      <c r="O64" s="53" t="s">
        <v>30</v>
      </c>
      <c r="P64" s="115" t="s">
        <v>41</v>
      </c>
      <c r="Q64" s="115" t="s">
        <v>42</v>
      </c>
    </row>
    <row r="65" spans="2:17" s="9" customFormat="1" ht="15" customHeight="1">
      <c r="B65" s="47" t="s">
        <v>30</v>
      </c>
      <c r="C65" s="2" t="s">
        <v>40</v>
      </c>
      <c r="D65" s="2" t="s">
        <v>32</v>
      </c>
      <c r="E65" s="231"/>
      <c r="G65" s="26" t="s">
        <v>44</v>
      </c>
      <c r="H65" s="205">
        <f>'Heat Recovery'!Natural_gas_therm</f>
        <v>9.8139563555369431</v>
      </c>
      <c r="I65" s="82"/>
      <c r="J65" s="18"/>
      <c r="K65" s="29" t="s">
        <v>45</v>
      </c>
      <c r="L65" s="147">
        <f>'Heat Recovery'!E44</f>
        <v>13.935818024862458</v>
      </c>
      <c r="O65" s="26" t="s">
        <v>46</v>
      </c>
      <c r="P65" s="55">
        <f>'Heat Recovery'!B51</f>
        <v>9.813956355536943E-2</v>
      </c>
      <c r="Q65" s="56">
        <f>'Heat Recovery'!C51</f>
        <v>0.35353736370857364</v>
      </c>
    </row>
    <row r="66" spans="2:17" s="9" customFormat="1">
      <c r="B66" s="28" t="s">
        <v>47</v>
      </c>
      <c r="C66" s="170" t="s">
        <v>37</v>
      </c>
      <c r="D66" s="209">
        <v>2000</v>
      </c>
      <c r="E66" s="231"/>
      <c r="G66" s="26" t="s">
        <v>48</v>
      </c>
      <c r="H66" s="205">
        <f>'Heat Recovery'!B41</f>
        <v>35.353736370857362</v>
      </c>
      <c r="I66" s="82"/>
      <c r="J66" s="18"/>
      <c r="K66" s="29" t="s">
        <v>49</v>
      </c>
      <c r="L66" s="147">
        <f>'Heat Recovery'!E45</f>
        <v>8.4848967290057669</v>
      </c>
      <c r="O66" s="26" t="s">
        <v>50</v>
      </c>
      <c r="P66" s="147">
        <f>'Heat Recovery'!B52</f>
        <v>0.13935818024862459</v>
      </c>
      <c r="Q66" s="147">
        <f>'Heat Recovery'!C52</f>
        <v>8.484896729005767E-2</v>
      </c>
    </row>
    <row r="67" spans="2:17" s="9" customFormat="1">
      <c r="B67" s="28" t="s">
        <v>66</v>
      </c>
      <c r="C67" s="171" t="s">
        <v>67</v>
      </c>
      <c r="D67" s="209">
        <v>180</v>
      </c>
      <c r="E67" s="231"/>
      <c r="H67" s="105"/>
      <c r="I67" s="18"/>
      <c r="J67" s="18"/>
      <c r="K67" s="18"/>
      <c r="L67" s="40"/>
      <c r="M67" s="18"/>
      <c r="O67" s="26" t="s">
        <v>52</v>
      </c>
      <c r="P67" s="154">
        <f>'Heat Recovery'!B56</f>
        <v>196.27912711073887</v>
      </c>
      <c r="Q67" s="155">
        <f>'Heat Recovery'!C56</f>
        <v>707.0747274171473</v>
      </c>
    </row>
    <row r="68" spans="2:17" s="9" customFormat="1">
      <c r="B68" s="28" t="s">
        <v>68</v>
      </c>
      <c r="C68" s="171" t="s">
        <v>67</v>
      </c>
      <c r="D68" s="209">
        <v>200</v>
      </c>
      <c r="E68" s="231"/>
      <c r="G68" s="19" t="s">
        <v>54</v>
      </c>
      <c r="H68" s="105"/>
      <c r="I68" s="17"/>
      <c r="J68" s="18"/>
      <c r="M68" s="17"/>
      <c r="O68" s="26" t="s">
        <v>55</v>
      </c>
      <c r="P68" s="169">
        <f>'Heat Recovery'!B57</f>
        <v>278.71636049724918</v>
      </c>
      <c r="Q68" s="169">
        <f>'Heat Recovery'!C57</f>
        <v>169.69793458011534</v>
      </c>
    </row>
    <row r="69" spans="2:17" s="9" customFormat="1">
      <c r="B69" s="28" t="s">
        <v>69</v>
      </c>
      <c r="C69" s="171" t="s">
        <v>67</v>
      </c>
      <c r="D69" s="209">
        <v>100</v>
      </c>
      <c r="E69" s="231"/>
      <c r="G69" s="48" t="s">
        <v>30</v>
      </c>
      <c r="H69" s="106" t="s">
        <v>32</v>
      </c>
      <c r="I69" s="17"/>
      <c r="J69" s="18"/>
      <c r="M69" s="17"/>
      <c r="O69" s="15"/>
      <c r="P69" s="41"/>
      <c r="Q69" s="41"/>
    </row>
    <row r="70" spans="2:17" s="9" customFormat="1">
      <c r="B70" s="28" t="s">
        <v>70</v>
      </c>
      <c r="C70" s="171" t="s">
        <v>67</v>
      </c>
      <c r="D70" s="209">
        <v>60</v>
      </c>
      <c r="E70" s="231"/>
      <c r="G70" s="26" t="s">
        <v>45</v>
      </c>
      <c r="H70" s="204">
        <f>'Heat Recovery'!B44</f>
        <v>52.072852422479023</v>
      </c>
      <c r="I70" s="82"/>
      <c r="J70" s="18"/>
    </row>
    <row r="71" spans="2:17" s="9" customFormat="1">
      <c r="B71" s="28" t="s">
        <v>71</v>
      </c>
      <c r="C71" s="171" t="s">
        <v>67</v>
      </c>
      <c r="D71" s="209">
        <v>170</v>
      </c>
      <c r="E71" s="231"/>
      <c r="G71" s="26" t="s">
        <v>49</v>
      </c>
      <c r="H71" s="204">
        <f>'Heat Recovery'!B45</f>
        <v>8.5264373692415241</v>
      </c>
      <c r="I71" s="82"/>
      <c r="J71" s="18"/>
      <c r="O71" s="3"/>
      <c r="P71" s="3"/>
    </row>
    <row r="72" spans="2:17" s="9" customFormat="1">
      <c r="B72" s="28" t="s">
        <v>72</v>
      </c>
      <c r="C72" s="171" t="s">
        <v>67</v>
      </c>
      <c r="D72" s="209">
        <v>100</v>
      </c>
      <c r="O72" s="53" t="s">
        <v>30</v>
      </c>
      <c r="P72" s="53" t="s">
        <v>73</v>
      </c>
    </row>
    <row r="73" spans="2:17" s="9" customFormat="1" ht="30">
      <c r="O73" s="168" t="s">
        <v>74</v>
      </c>
      <c r="P73" s="156">
        <f>'Heat Recovery'!Cooling_Calculated_Ending_Water_Temperature__°F</f>
        <v>150.00000000000009</v>
      </c>
    </row>
    <row r="74" spans="2:17" s="9" customFormat="1"/>
    <row r="75" spans="2:17" s="9" customFormat="1"/>
    <row r="76" spans="2:17" s="9" customFormat="1"/>
    <row r="77" spans="2:17" s="9" customFormat="1">
      <c r="B77" s="134"/>
      <c r="C77" s="42"/>
      <c r="G77" s="13"/>
      <c r="H77" s="15"/>
    </row>
    <row r="78" spans="2:17" s="9" customFormat="1" ht="18.95">
      <c r="B78" s="135"/>
      <c r="C78" s="135"/>
      <c r="D78" s="135"/>
      <c r="G78" s="138"/>
      <c r="H78" s="139"/>
    </row>
    <row r="79" spans="2:17" s="9" customFormat="1">
      <c r="B79" s="13"/>
      <c r="C79" s="136"/>
      <c r="D79" s="137"/>
      <c r="E79" s="119"/>
      <c r="G79" s="13"/>
      <c r="H79" s="140"/>
    </row>
    <row r="80" spans="2:17" s="9" customFormat="1">
      <c r="B80" s="13"/>
      <c r="C80" s="136"/>
      <c r="D80" s="137"/>
    </row>
    <row r="81" spans="2:4" s="9" customFormat="1">
      <c r="B81" s="13"/>
      <c r="C81" s="136"/>
      <c r="D81" s="137"/>
    </row>
    <row r="82" spans="2:4" s="9" customFormat="1"/>
    <row r="83" spans="2:4" s="9" customFormat="1"/>
    <row r="84" spans="2:4" s="9" customFormat="1"/>
    <row r="85" spans="2:4" s="9" customFormat="1"/>
    <row r="86" spans="2:4" s="9" customFormat="1"/>
    <row r="87" spans="2:4" s="9" customFormat="1"/>
    <row r="88" spans="2:4" s="9" customFormat="1"/>
    <row r="89" spans="2:4" s="9" customFormat="1"/>
    <row r="90" spans="2:4" s="9" customFormat="1"/>
    <row r="91" spans="2:4" s="9" customFormat="1"/>
    <row r="92" spans="2:4" s="9" customFormat="1"/>
    <row r="93" spans="2:4" s="9" customFormat="1"/>
    <row r="94" spans="2:4" s="9" customFormat="1"/>
    <row r="95" spans="2:4" s="9" customFormat="1"/>
    <row r="96" spans="2:4" s="9" customFormat="1"/>
    <row r="97" spans="2:4" s="9" customFormat="1"/>
    <row r="98" spans="2:4" s="9" customFormat="1"/>
    <row r="99" spans="2:4" s="9" customFormat="1"/>
    <row r="100" spans="2:4" s="9" customFormat="1"/>
    <row r="101" spans="2:4" s="9" customFormat="1"/>
    <row r="102" spans="2:4" s="9" customFormat="1"/>
    <row r="103" spans="2:4" s="9" customFormat="1"/>
    <row r="104" spans="2:4" s="9" customFormat="1"/>
    <row r="105" spans="2:4" s="9" customFormat="1"/>
    <row r="106" spans="2:4" s="9" customFormat="1"/>
    <row r="107" spans="2:4" s="9" customFormat="1"/>
    <row r="108" spans="2:4" s="9" customFormat="1"/>
    <row r="109" spans="2:4" s="9" customFormat="1"/>
    <row r="110" spans="2:4">
      <c r="B110" s="9"/>
      <c r="C110" s="9"/>
      <c r="D110" s="9"/>
    </row>
  </sheetData>
  <sheetProtection algorithmName="SHA-512" hashValue="5x1dFr4BYPJqu+P9ri6HuOH9X0ypUYDSkGP9vd5Sd8G5YZ123/xab4hV1QOb5p33NbcU02k2jbQawFuirm3MMw==" saltValue="CQPSjKEj7yN9PTQq/YTWNg==" spinCount="100000" sheet="1" objects="1" scenarios="1"/>
  <sortState xmlns:xlrd2="http://schemas.microsoft.com/office/spreadsheetml/2017/richdata2" ref="B54:D58">
    <sortCondition ref="D57:D58"/>
  </sortState>
  <mergeCells count="3">
    <mergeCell ref="B30:C30"/>
    <mergeCell ref="G30:Q30"/>
    <mergeCell ref="E64:E71"/>
  </mergeCells>
  <dataValidations count="18">
    <dataValidation allowBlank="1" showInputMessage="1" showErrorMessage="1" prompt="Input your energy cost from bill data to get a better estimate. Go to your utility website for help understanding your bill and per unit energy cost._x000a_" sqref="D35:D36" xr:uid="{3E55CEA3-29B0-4A6F-9796-F81981EA8367}"/>
    <dataValidation type="decimal" allowBlank="1" showInputMessage="1" showErrorMessage="1" promptTitle="Enter Beer Barrel Production" prompt="Enter the annual number of barrels of beer produced._x000a_Range: 0-6,000,000" sqref="D42 D66 D57" xr:uid="{83025AE4-5513-47FD-8D6F-2ABF2065DF05}">
      <formula1>0.1</formula1>
      <formula2>6000000</formula2>
    </dataValidation>
    <dataValidation type="decimal" allowBlank="1" showInputMessage="1" showErrorMessage="1" promptTitle="Enter WH Operation Hours" prompt="Enter the number of hours the water heater operates for the production time period._x000a_Range: 0-8760" sqref="D41" xr:uid="{A9892335-9B86-47E8-94EA-BD42289AC5AD}">
      <formula1>0</formula1>
      <formula2>8760</formula2>
    </dataValidation>
    <dataValidation type="decimal" allowBlank="1" showInputMessage="1" showErrorMessage="1" promptTitle="Enter the COP of the heat pump" prompt="Enter the Coefficient of Performance of the Air source heat pump water heater._x000a_Range: 0-20" sqref="D45" xr:uid="{AC0F6359-49A8-4E51-80AF-E453FA288D85}">
      <formula1>0</formula1>
      <formula2>20</formula2>
    </dataValidation>
    <dataValidation type="decimal" allowBlank="1" showInputMessage="1" showErrorMessage="1" promptTitle="Enter water heater efficiency" prompt="Enter the efficiency of the water heater._x000a_80% is for a new minimum efficiency water heater. Water heater efficiency degrades over time depending on operating conditions and maintenance._x000a__x000a_Range: 0-100%" sqref="D44" xr:uid="{8D4E602B-8913-4325-815E-4EF4488DE6C1}">
      <formula1>0.01</formula1>
      <formula2>1</formula2>
    </dataValidation>
    <dataValidation allowBlank="1" showInputMessage="1" showErrorMessage="1" promptTitle="Enter Water Heater Size" prompt="Enter the size of the water heater in thousands of BTU per hour (kBTU or MBTU)." sqref="D43" xr:uid="{6B53EC02-3E90-4B41-8A83-66E1A444B136}"/>
    <dataValidation type="decimal" allowBlank="1" showInputMessage="1" showErrorMessage="1" promptTitle="Enter Boiler Operation Hours" prompt="Enter the number of hours the steam boiler operates for the production time period._x000a_Range: 0-8760" sqref="D56" xr:uid="{4076CE59-09EC-47BE-9F14-6CC0D8A8CB56}">
      <formula1>0</formula1>
      <formula2>8760</formula2>
    </dataValidation>
    <dataValidation type="decimal" allowBlank="1" showInputMessage="1" showErrorMessage="1" promptTitle="Enter Your Boiler Efficiency" prompt="Input the efficiency of your steam boiler in percent. Typical boiler efficiencies range from 60-90% depending on manufacturer's rated efficiency, age, and maintenance. _x000a_Range: 1%-100%_x000a_" sqref="E57 D58" xr:uid="{29B41187-971F-4EC1-A62E-BFE79EB03B2D}">
      <formula1>0.01</formula1>
      <formula2>1</formula2>
    </dataValidation>
    <dataValidation type="decimal" allowBlank="1" showInputMessage="1" showErrorMessage="1" promptTitle="Enter SGHP COP" prompt="Enter the Coefficient of Performance for the SGHP. Check to make sure that you have plans to supply the heat source required for the heat pump and that the SGHP has a sufficient steam output (BTU or lb/hour &amp; Pressure) type for your uses._x000a_Range: 0.1 - 20_x000a_" sqref="D54" xr:uid="{FF8A45E3-1138-40E1-B62A-2540083732F6}">
      <formula1>0.1</formula1>
      <formula2>20</formula2>
    </dataValidation>
    <dataValidation type="decimal" allowBlank="1" showInputMessage="1" showErrorMessage="1" promptTitle="Enter Steam Boiler Size" prompt="Enter the size of your steam boiler in Boiler Horsepower (BHP). _x000a_Range: 1-10,000 BHP" sqref="D55" xr:uid="{6C72F0B2-7F5E-4768-AAA3-67D1C265A70B}">
      <formula1>1</formula1>
      <formula2>10000</formula2>
    </dataValidation>
    <dataValidation type="custom" allowBlank="1" showInputMessage="1" showErrorMessage="1" promptTitle="Enter Desired Water Temperature" prompt="Enter the temperature you would like to heat the water to. Must be greater than the starting water temperature._x000a_Range: 32-212" sqref="D68" xr:uid="{93D9A211-2CCF-48B1-B1E1-0CB213A6DA57}">
      <formula1>AND(D68&gt;D67,D68&lt;212)</formula1>
    </dataValidation>
    <dataValidation type="custom" allowBlank="1" showInputMessage="1" showErrorMessage="1" promptTitle="Enter Starting Water Temperature" prompt="Enter the starting temperature of the water to be heated. It must be less than the Desired or ending water temperature below._x000a_Range: 32-212_x000a_" sqref="D67" xr:uid="{A251C3CA-E481-4F5E-81EF-6C8A2B6730E6}">
      <formula1>AND(D67&lt;D68,D67&gt;32)</formula1>
    </dataValidation>
    <dataValidation type="decimal" operator="greaterThan" allowBlank="1" showInputMessage="1" showErrorMessage="1" promptTitle="Enter Heating Time" prompt="Enter the how much time it takes to heat the hot water volume above from the starting temperature to the desired or ending water temperature._x000a_Range: greater than 0" sqref="D70" xr:uid="{55B6E114-1FE8-4D3A-8706-5E19B6576EEA}">
      <formula1>0</formula1>
    </dataValidation>
    <dataValidation type="decimal" operator="greaterThan" allowBlank="1" showInputMessage="1" showErrorMessage="1" promptTitle="Enter the Hot water volume" prompt="Enter the volume of water you want to heat from the starting temprature to the ending temperature._x000a_Range: greater than 0" sqref="D69" xr:uid="{D40D0DE0-F4C9-4B52-8390-4E7DB96D899A}">
      <formula1>0</formula1>
    </dataValidation>
    <dataValidation type="custom" allowBlank="1" showInputMessage="1" showErrorMessage="1" errorTitle="Volume too small" error="The input volume is too small. Increase the volume of water to be cooled or increase the starting temperature of the water you want to cool (above)." promptTitle="Enter Cooled water volume" prompt="Enter the volume of the water you want to cool. Volume must be large enough to prevent the calculated ending water temperature being less than 32._x000a_Range: greater than 0" sqref="D72" xr:uid="{20D26D98-4587-44F5-BAAE-4152A53ED070}">
      <formula1>D75&gt;32</formula1>
    </dataValidation>
    <dataValidation type="custom" allowBlank="1" showInputMessage="1" showErrorMessage="1" errorTitle="Input temperature too low" error="The input temperature is too low. Increase the volume of water to be cooled or increase the starting temperature of the water you want to cool (above)." promptTitle="Enter starting temperature" prompt="Enter the starting temperature of the water you want to cool._x000a_Range: 32-212" sqref="D71" xr:uid="{59729B90-0FCD-4834-9BC0-75447A3AE443}">
      <formula1>(D75&gt;32)</formula1>
    </dataValidation>
    <dataValidation allowBlank="1" showInputMessage="1" showErrorMessage="1" prompt="This main calculator assumes an average equipment load of 50%. Review the individual equipment pages (ASHPWH, SGHP) for further details or to adjust. " sqref="B30:C30" xr:uid="{CCDA4934-A4EC-44CA-9067-D5212E00985A}"/>
    <dataValidation allowBlank="1" showInputMessage="1" showErrorMessage="1" promptTitle="Equipment Average Load" prompt="The default value used for average equipment load is 50%. For more detailed equipment average load see ASHPWH Tab." sqref="D46 D59" xr:uid="{53747516-0B40-446A-A369-39893BBA9EC9}"/>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Default_values">
                <anchor moveWithCells="1" sizeWithCells="1">
                  <from>
                    <xdr:col>2</xdr:col>
                    <xdr:colOff>1485900</xdr:colOff>
                    <xdr:row>29</xdr:row>
                    <xdr:rowOff>50800</xdr:rowOff>
                  </from>
                  <to>
                    <xdr:col>4</xdr:col>
                    <xdr:colOff>615950</xdr:colOff>
                    <xdr:row>29</xdr:row>
                    <xdr:rowOff>698500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1" id="{6FDCFD37-61E6-456D-96D2-F16AA28D746B}">
            <xm:f>Reference!#REF!&lt;0</xm:f>
            <x14:dxf>
              <font>
                <strike/>
                <color theme="0"/>
              </font>
              <fill>
                <patternFill>
                  <bgColor rgb="FFFF0000"/>
                </patternFill>
              </fill>
            </x14:dxf>
          </x14:cfRule>
          <xm:sqref>D66:D72</xm:sqref>
        </x14:conditionalFormatting>
        <x14:conditionalFormatting xmlns:xm="http://schemas.microsoft.com/office/excel/2006/main">
          <x14:cfRule type="expression" priority="12" id="{22ADE276-AD43-4747-929A-EE70B170F9B4}">
            <xm:f>Reference!#REF!&lt;0</xm:f>
            <x14:dxf>
              <font>
                <strike val="0"/>
                <color theme="0"/>
              </font>
              <fill>
                <patternFill>
                  <bgColor rgb="FFFF0000"/>
                </patternFill>
              </fill>
            </x14:dxf>
          </x14:cfRule>
          <xm:sqref>E64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F56DB-0993-49A9-9AED-35993E6260FB}">
  <sheetPr codeName="Sheet2">
    <tabColor theme="6"/>
  </sheetPr>
  <dimension ref="A1:V209"/>
  <sheetViews>
    <sheetView zoomScale="85" zoomScaleNormal="85" workbookViewId="0">
      <selection activeCell="C19" sqref="C19"/>
    </sheetView>
  </sheetViews>
  <sheetFormatPr defaultColWidth="8.85546875" defaultRowHeight="15"/>
  <cols>
    <col min="1" max="1" width="10.85546875" style="66" customWidth="1"/>
    <col min="2" max="2" width="55.140625" style="10" bestFit="1" customWidth="1"/>
    <col min="3" max="3" width="27.5703125" style="10" customWidth="1"/>
    <col min="4" max="4" width="17.5703125" style="10" bestFit="1" customWidth="1"/>
    <col min="5" max="7" width="8.85546875" style="10"/>
    <col min="8" max="8" width="26.42578125" style="10" bestFit="1" customWidth="1"/>
    <col min="9" max="9" width="32.42578125" style="66" customWidth="1"/>
    <col min="10" max="10" width="9.42578125" style="10" bestFit="1" customWidth="1"/>
    <col min="11" max="16384" width="8.85546875" style="10"/>
  </cols>
  <sheetData>
    <row r="1" spans="1:22" s="11" customFormat="1" ht="34.5">
      <c r="A1" s="4" t="s">
        <v>0</v>
      </c>
      <c r="B1" s="5"/>
      <c r="C1" s="5"/>
      <c r="F1" s="5"/>
      <c r="J1" s="5"/>
    </row>
    <row r="2" spans="1:22" s="11" customFormat="1" ht="20.100000000000001">
      <c r="A2" s="6" t="s">
        <v>75</v>
      </c>
    </row>
    <row r="3" spans="1:22" s="11" customFormat="1"/>
    <row r="4" spans="1:22" s="9" customFormat="1"/>
    <row r="5" spans="1:22" s="9" customFormat="1"/>
    <row r="6" spans="1:22" s="9" customFormat="1"/>
    <row r="7" spans="1:22" s="9" customFormat="1"/>
    <row r="8" spans="1:22" s="9" customFormat="1"/>
    <row r="9" spans="1:22" s="9" customFormat="1" ht="22.5">
      <c r="A9" s="59"/>
      <c r="I9" s="21"/>
    </row>
    <row r="10" spans="1:22" s="9" customFormat="1" ht="20.100000000000001">
      <c r="B10" s="73" t="s">
        <v>76</v>
      </c>
      <c r="J10" s="21"/>
      <c r="N10"/>
    </row>
    <row r="11" spans="1:22" s="9" customFormat="1">
      <c r="B11" s="74" t="s">
        <v>77</v>
      </c>
      <c r="C11" s="35" t="s">
        <v>73</v>
      </c>
      <c r="D11" s="35" t="s">
        <v>78</v>
      </c>
      <c r="J11" s="21"/>
    </row>
    <row r="12" spans="1:22" s="9" customFormat="1" ht="20.45">
      <c r="B12" s="25" t="s">
        <v>79</v>
      </c>
      <c r="C12" s="33">
        <v>11.111000000000001</v>
      </c>
      <c r="D12" s="100" t="s">
        <v>80</v>
      </c>
      <c r="J12" s="21"/>
      <c r="N12" s="3"/>
      <c r="O12" s="3"/>
      <c r="P12" s="3"/>
      <c r="Q12" s="3"/>
      <c r="R12" s="3"/>
      <c r="S12" s="3"/>
      <c r="T12" s="3"/>
      <c r="U12" s="3"/>
      <c r="V12" s="3"/>
    </row>
    <row r="13" spans="1:22" s="9" customFormat="1" ht="20.45">
      <c r="B13" s="25" t="s">
        <v>81</v>
      </c>
      <c r="C13" s="75">
        <v>0.7</v>
      </c>
      <c r="D13" s="100" t="s">
        <v>80</v>
      </c>
      <c r="J13" s="21"/>
      <c r="N13" s="3"/>
      <c r="O13" s="3"/>
      <c r="P13" s="3"/>
      <c r="Q13" s="3"/>
      <c r="R13" s="3"/>
      <c r="S13" s="3"/>
      <c r="T13" s="3"/>
      <c r="U13" s="3"/>
      <c r="V13" s="3"/>
    </row>
    <row r="14" spans="1:22" s="9" customFormat="1" ht="20.45">
      <c r="B14" s="25" t="s">
        <v>82</v>
      </c>
      <c r="C14" s="75">
        <v>0.52700000000000002</v>
      </c>
      <c r="D14" s="100" t="s">
        <v>83</v>
      </c>
      <c r="J14" s="21"/>
      <c r="N14" s="3"/>
      <c r="O14" s="3"/>
      <c r="P14" s="3"/>
      <c r="Q14" s="3"/>
      <c r="R14" s="3"/>
      <c r="S14" s="3"/>
      <c r="T14" s="3"/>
      <c r="U14" s="3"/>
      <c r="V14" s="3"/>
    </row>
    <row r="15" spans="1:22" s="9" customFormat="1" ht="20.45">
      <c r="B15" s="25" t="s">
        <v>84</v>
      </c>
      <c r="C15" s="76">
        <v>0.83599999999999997</v>
      </c>
      <c r="D15" s="100" t="s">
        <v>83</v>
      </c>
      <c r="J15" s="21"/>
      <c r="N15" s="3"/>
      <c r="O15" s="3"/>
      <c r="P15" s="3"/>
      <c r="Q15" s="3"/>
      <c r="R15" s="3"/>
      <c r="S15" s="3"/>
      <c r="T15" s="3"/>
      <c r="U15" s="3"/>
      <c r="V15" s="3"/>
    </row>
    <row r="16" spans="1:22" s="9" customFormat="1" ht="20.45">
      <c r="B16" s="14"/>
      <c r="C16" s="77"/>
      <c r="D16" s="101"/>
      <c r="J16" s="21"/>
      <c r="N16" s="3"/>
      <c r="O16" s="3"/>
      <c r="P16" s="3"/>
      <c r="Q16" s="3"/>
      <c r="R16" s="3"/>
      <c r="S16" s="3"/>
      <c r="T16" s="3"/>
      <c r="U16" s="3"/>
      <c r="V16" s="3"/>
    </row>
    <row r="17" spans="2:22" s="9" customFormat="1" ht="24">
      <c r="B17" s="73" t="s">
        <v>85</v>
      </c>
      <c r="D17" s="101"/>
      <c r="J17" s="21"/>
      <c r="N17" s="3"/>
      <c r="O17" s="3"/>
      <c r="P17" s="3"/>
      <c r="Q17" s="3"/>
      <c r="R17" s="3"/>
      <c r="S17" s="3"/>
      <c r="T17" s="3"/>
      <c r="U17" s="3"/>
      <c r="V17" s="3"/>
    </row>
    <row r="18" spans="2:22" s="9" customFormat="1" ht="20.45">
      <c r="B18" s="74" t="s">
        <v>77</v>
      </c>
      <c r="C18" s="35" t="s">
        <v>73</v>
      </c>
      <c r="D18" s="102" t="s">
        <v>78</v>
      </c>
      <c r="J18" s="21"/>
      <c r="N18" s="3"/>
      <c r="O18" s="3"/>
      <c r="P18" s="3"/>
      <c r="Q18" s="3"/>
      <c r="R18" s="3"/>
      <c r="S18" s="3"/>
      <c r="T18" s="3"/>
      <c r="U18" s="3"/>
      <c r="V18" s="3"/>
    </row>
    <row r="19" spans="2:22" s="9" customFormat="1" ht="20.45">
      <c r="B19" s="25" t="s">
        <v>86</v>
      </c>
      <c r="C19" s="33">
        <v>241.17500000000001</v>
      </c>
      <c r="D19" s="100" t="s">
        <v>87</v>
      </c>
      <c r="J19" s="21"/>
      <c r="N19" s="3"/>
      <c r="O19" s="3"/>
      <c r="P19" s="3"/>
      <c r="Q19" s="3"/>
      <c r="R19" s="3"/>
      <c r="S19" s="3"/>
      <c r="T19" s="3"/>
      <c r="U19" s="3"/>
      <c r="V19" s="3"/>
    </row>
    <row r="20" spans="2:22" s="9" customFormat="1" ht="20.45">
      <c r="B20" s="25" t="s">
        <v>88</v>
      </c>
      <c r="C20" s="33">
        <f>C19/1000</f>
        <v>0.241175</v>
      </c>
      <c r="D20" s="103" t="s">
        <v>89</v>
      </c>
      <c r="J20" s="21"/>
      <c r="N20" s="3"/>
      <c r="O20" s="3"/>
      <c r="P20" s="3"/>
      <c r="Q20" s="3"/>
      <c r="R20" s="3"/>
      <c r="S20" s="3"/>
      <c r="T20" s="3"/>
      <c r="U20" s="3"/>
      <c r="V20" s="3"/>
    </row>
    <row r="21" spans="2:22" s="9" customFormat="1" ht="20.45">
      <c r="B21" s="25" t="s">
        <v>90</v>
      </c>
      <c r="C21" s="33">
        <v>53.06</v>
      </c>
      <c r="D21" s="100" t="s">
        <v>87</v>
      </c>
      <c r="J21" s="21"/>
      <c r="N21" s="3"/>
      <c r="O21" s="3"/>
      <c r="P21" s="3"/>
      <c r="Q21" s="3"/>
      <c r="R21" s="3"/>
      <c r="S21" s="3"/>
      <c r="T21" s="3"/>
      <c r="U21" s="3"/>
      <c r="V21" s="3"/>
    </row>
    <row r="22" spans="2:22" s="9" customFormat="1" ht="20.45">
      <c r="B22" s="25" t="s">
        <v>91</v>
      </c>
      <c r="C22" s="33">
        <f>C21/10</f>
        <v>5.306</v>
      </c>
      <c r="D22" s="103" t="s">
        <v>89</v>
      </c>
      <c r="J22" s="21"/>
      <c r="N22" s="3"/>
      <c r="O22" s="3"/>
      <c r="P22" s="3"/>
      <c r="Q22" s="3"/>
      <c r="R22" s="3"/>
      <c r="S22" s="3"/>
      <c r="T22" s="3"/>
      <c r="U22" s="3"/>
      <c r="V22" s="3"/>
    </row>
    <row r="23" spans="2:22" s="9" customFormat="1" ht="20.45">
      <c r="B23" s="14"/>
      <c r="C23" s="81"/>
      <c r="D23" s="101"/>
      <c r="J23" s="21"/>
      <c r="N23" s="3"/>
      <c r="O23" s="3"/>
      <c r="P23" s="3"/>
      <c r="Q23" s="3"/>
      <c r="R23" s="3"/>
      <c r="S23" s="3"/>
      <c r="T23" s="3"/>
      <c r="U23" s="3"/>
      <c r="V23" s="3"/>
    </row>
    <row r="24" spans="2:22" s="9" customFormat="1" ht="24">
      <c r="B24" s="73" t="s">
        <v>92</v>
      </c>
      <c r="C24" s="81"/>
      <c r="D24" s="101"/>
      <c r="J24" s="21"/>
      <c r="N24" s="3"/>
      <c r="O24" s="3"/>
      <c r="P24" s="3"/>
      <c r="Q24" s="3"/>
      <c r="R24" s="3"/>
      <c r="S24" s="3"/>
      <c r="T24" s="3"/>
      <c r="U24" s="3"/>
      <c r="V24" s="3"/>
    </row>
    <row r="25" spans="2:22" s="9" customFormat="1" ht="20.45">
      <c r="B25" s="74" t="s">
        <v>77</v>
      </c>
      <c r="C25" s="35" t="s">
        <v>73</v>
      </c>
      <c r="D25" s="102" t="s">
        <v>78</v>
      </c>
      <c r="J25" s="21"/>
      <c r="N25" s="3"/>
      <c r="O25" s="3"/>
      <c r="P25" s="3"/>
      <c r="Q25" s="3"/>
      <c r="R25" s="3"/>
      <c r="S25" s="3"/>
      <c r="T25" s="3"/>
      <c r="U25" s="3"/>
      <c r="V25" s="3"/>
    </row>
    <row r="26" spans="2:22" s="9" customFormat="1" ht="20.45">
      <c r="B26" s="95" t="s">
        <v>93</v>
      </c>
      <c r="C26" s="96">
        <f>'Comparison Calcs'!D36</f>
        <v>0.24</v>
      </c>
      <c r="D26" s="104" t="s">
        <v>94</v>
      </c>
      <c r="J26" s="21"/>
      <c r="N26" s="3"/>
      <c r="O26" s="3"/>
      <c r="P26" s="3"/>
      <c r="Q26" s="3"/>
      <c r="R26" s="3"/>
      <c r="S26" s="3"/>
      <c r="T26" s="3"/>
      <c r="U26" s="3"/>
      <c r="V26" s="3"/>
    </row>
    <row r="27" spans="2:22" s="9" customFormat="1" ht="20.45">
      <c r="B27" s="25" t="s">
        <v>95</v>
      </c>
      <c r="C27" s="33">
        <v>14.74</v>
      </c>
      <c r="D27" s="100" t="s">
        <v>96</v>
      </c>
      <c r="J27" s="21"/>
      <c r="N27" s="3"/>
      <c r="O27" s="3"/>
      <c r="P27" s="3"/>
      <c r="Q27" s="3"/>
      <c r="R27" s="3"/>
      <c r="S27" s="3"/>
      <c r="T27" s="3"/>
      <c r="U27" s="3"/>
      <c r="V27" s="3"/>
    </row>
    <row r="28" spans="2:22" s="9" customFormat="1" ht="20.45">
      <c r="B28" s="25" t="s">
        <v>97</v>
      </c>
      <c r="C28" s="33">
        <f>'Comparison Calcs'!D35</f>
        <v>1.42</v>
      </c>
      <c r="D28" s="103" t="s">
        <v>98</v>
      </c>
      <c r="J28" s="21"/>
      <c r="N28" s="3"/>
      <c r="O28" s="3"/>
      <c r="P28" s="3"/>
      <c r="Q28" s="3"/>
      <c r="R28" s="3"/>
      <c r="S28" s="3"/>
      <c r="T28" s="3"/>
      <c r="U28" s="3"/>
      <c r="V28" s="3"/>
    </row>
    <row r="29" spans="2:22" s="9" customFormat="1">
      <c r="B29" s="21"/>
      <c r="J29" s="21"/>
      <c r="N29" s="3"/>
      <c r="O29" s="3"/>
      <c r="P29" s="3"/>
      <c r="Q29" s="3"/>
      <c r="R29" s="3"/>
      <c r="S29" s="3"/>
      <c r="T29" s="3"/>
      <c r="U29" s="3"/>
      <c r="V29" s="3"/>
    </row>
    <row r="30" spans="2:22" s="9" customFormat="1">
      <c r="B30" s="21"/>
      <c r="J30" s="21"/>
      <c r="N30" s="3"/>
      <c r="O30" s="3"/>
      <c r="P30" s="3"/>
      <c r="Q30" s="3"/>
      <c r="R30" s="3"/>
      <c r="S30" s="3"/>
      <c r="T30" s="3"/>
      <c r="U30" s="3"/>
      <c r="V30" s="3"/>
    </row>
    <row r="31" spans="2:22" s="9" customFormat="1" ht="20.100000000000001">
      <c r="B31" s="73" t="s">
        <v>99</v>
      </c>
      <c r="J31" s="21"/>
      <c r="N31" s="3"/>
      <c r="O31" s="3"/>
      <c r="P31" s="3"/>
      <c r="Q31" s="3"/>
      <c r="R31" s="3"/>
      <c r="S31" s="3"/>
      <c r="T31" s="3"/>
      <c r="U31" s="3"/>
      <c r="V31" s="3"/>
    </row>
    <row r="32" spans="2:22" s="9" customFormat="1">
      <c r="B32" s="74" t="s">
        <v>77</v>
      </c>
      <c r="C32" s="35" t="s">
        <v>73</v>
      </c>
      <c r="J32" s="21"/>
      <c r="N32" s="3"/>
      <c r="O32" s="3"/>
      <c r="P32" s="3"/>
      <c r="Q32" s="3"/>
      <c r="R32" s="3"/>
      <c r="S32" s="3"/>
      <c r="T32" s="3"/>
      <c r="U32" s="3"/>
      <c r="V32" s="3"/>
    </row>
    <row r="33" spans="2:22" s="9" customFormat="1">
      <c r="B33" s="25" t="s">
        <v>100</v>
      </c>
      <c r="C33" s="33">
        <v>273.14999999999998</v>
      </c>
      <c r="J33" s="21"/>
      <c r="N33" s="3"/>
      <c r="O33" s="3"/>
      <c r="P33" s="3"/>
      <c r="Q33" s="3"/>
      <c r="R33" s="3"/>
      <c r="S33" s="3"/>
      <c r="T33" s="3"/>
      <c r="U33" s="3"/>
      <c r="V33" s="3"/>
    </row>
    <row r="34" spans="2:22" s="9" customFormat="1">
      <c r="B34" s="25" t="s">
        <v>101</v>
      </c>
      <c r="C34" s="33">
        <v>458.67</v>
      </c>
      <c r="J34" s="21"/>
      <c r="N34" s="3"/>
      <c r="O34" s="3"/>
      <c r="P34" s="3"/>
      <c r="Q34" s="3"/>
      <c r="R34" s="3"/>
      <c r="S34" s="3"/>
      <c r="T34" s="3"/>
      <c r="U34" s="3"/>
      <c r="V34" s="3"/>
    </row>
    <row r="35" spans="2:22" s="9" customFormat="1">
      <c r="B35" s="25" t="s">
        <v>102</v>
      </c>
      <c r="C35" s="33">
        <v>3.7854100000000002</v>
      </c>
      <c r="J35" s="21"/>
      <c r="N35" s="3"/>
      <c r="O35" s="3"/>
      <c r="P35" s="3"/>
      <c r="Q35" s="3"/>
      <c r="R35" s="3"/>
      <c r="S35" s="3"/>
      <c r="T35" s="3"/>
      <c r="U35" s="3"/>
      <c r="V35" s="3"/>
    </row>
    <row r="36" spans="2:22" s="9" customFormat="1">
      <c r="B36" s="25" t="s">
        <v>103</v>
      </c>
      <c r="C36" s="33">
        <v>117.348</v>
      </c>
      <c r="J36" s="21"/>
      <c r="N36" s="3"/>
      <c r="O36" s="3"/>
      <c r="P36" s="3"/>
      <c r="Q36" s="3"/>
      <c r="R36" s="3"/>
      <c r="S36" s="3"/>
      <c r="T36" s="3"/>
      <c r="U36" s="3"/>
      <c r="V36" s="3"/>
    </row>
    <row r="37" spans="2:22" s="9" customFormat="1">
      <c r="B37" s="25" t="s">
        <v>104</v>
      </c>
      <c r="C37" s="33">
        <v>31</v>
      </c>
      <c r="J37" s="21"/>
      <c r="N37" s="3"/>
      <c r="O37" s="3"/>
      <c r="P37" s="3"/>
      <c r="Q37" s="3"/>
      <c r="R37" s="3"/>
      <c r="S37" s="3"/>
      <c r="T37" s="3"/>
      <c r="U37" s="3"/>
      <c r="V37" s="3"/>
    </row>
    <row r="38" spans="2:22" s="9" customFormat="1">
      <c r="B38" s="25" t="s">
        <v>105</v>
      </c>
      <c r="C38" s="33">
        <v>3412</v>
      </c>
      <c r="J38" s="21"/>
      <c r="N38" s="3"/>
      <c r="O38" s="3"/>
      <c r="P38" s="3"/>
      <c r="Q38" s="3"/>
      <c r="R38" s="3"/>
      <c r="S38" s="3"/>
      <c r="T38" s="3"/>
      <c r="U38" s="3"/>
      <c r="V38" s="3"/>
    </row>
    <row r="39" spans="2:22" s="9" customFormat="1">
      <c r="B39" s="25" t="s">
        <v>106</v>
      </c>
      <c r="C39" s="33">
        <v>29.3</v>
      </c>
      <c r="J39" s="21"/>
    </row>
    <row r="40" spans="2:22" s="9" customFormat="1">
      <c r="B40" s="25" t="s">
        <v>107</v>
      </c>
      <c r="C40" s="33">
        <v>99976.1</v>
      </c>
      <c r="J40" s="21"/>
    </row>
    <row r="41" spans="2:22" s="9" customFormat="1">
      <c r="B41" s="25" t="s">
        <v>108</v>
      </c>
      <c r="C41" s="33">
        <v>3600</v>
      </c>
      <c r="J41" s="21"/>
    </row>
    <row r="42" spans="2:22" s="9" customFormat="1">
      <c r="B42" s="25" t="s">
        <v>109</v>
      </c>
      <c r="C42" s="33">
        <v>105480</v>
      </c>
      <c r="J42" s="21"/>
    </row>
    <row r="43" spans="2:22" s="9" customFormat="1">
      <c r="B43" s="25" t="s">
        <v>110</v>
      </c>
      <c r="C43" s="33">
        <v>33475</v>
      </c>
      <c r="J43" s="21"/>
    </row>
    <row r="44" spans="2:22" s="9" customFormat="1">
      <c r="B44" s="25" t="s">
        <v>111</v>
      </c>
      <c r="C44" s="33">
        <v>0.94799999999999995</v>
      </c>
      <c r="J44" s="21"/>
    </row>
    <row r="45" spans="2:22" s="9" customFormat="1">
      <c r="B45" s="25" t="s">
        <v>112</v>
      </c>
      <c r="C45" s="33">
        <v>9.8119999999999994</v>
      </c>
      <c r="J45" s="21"/>
    </row>
    <row r="46" spans="2:22" s="9" customFormat="1">
      <c r="B46" s="25" t="s">
        <v>113</v>
      </c>
      <c r="C46" s="33">
        <v>0.29307100000000003</v>
      </c>
      <c r="J46" s="21"/>
    </row>
    <row r="47" spans="2:22" s="9" customFormat="1">
      <c r="B47" s="25" t="s">
        <v>114</v>
      </c>
      <c r="C47" s="33">
        <v>1</v>
      </c>
      <c r="J47" s="21"/>
    </row>
    <row r="48" spans="2:22" s="9" customFormat="1">
      <c r="B48" s="25" t="s">
        <v>115</v>
      </c>
      <c r="C48" s="33">
        <f>10.38</f>
        <v>10.38</v>
      </c>
      <c r="J48" s="21"/>
    </row>
    <row r="49" spans="1:10" s="9" customFormat="1">
      <c r="B49" s="25" t="s">
        <v>116</v>
      </c>
      <c r="C49" s="33">
        <v>3600</v>
      </c>
      <c r="J49" s="21"/>
    </row>
    <row r="50" spans="1:10" s="9" customFormat="1">
      <c r="B50" s="25" t="s">
        <v>117</v>
      </c>
      <c r="C50" s="33">
        <v>4.1840000000000002</v>
      </c>
      <c r="J50" s="21"/>
    </row>
    <row r="51" spans="1:10" s="9" customFormat="1">
      <c r="B51" s="25" t="s">
        <v>118</v>
      </c>
      <c r="C51" s="33">
        <v>8.3339999999999996</v>
      </c>
      <c r="J51" s="21"/>
    </row>
    <row r="52" spans="1:10" s="9" customFormat="1">
      <c r="A52" s="21"/>
    </row>
    <row r="53" spans="1:10" s="9" customFormat="1">
      <c r="A53" s="21"/>
    </row>
    <row r="54" spans="1:10" s="9" customFormat="1" hidden="1">
      <c r="E54" s="21"/>
    </row>
    <row r="55" spans="1:10" s="9" customFormat="1" ht="20.100000000000001" hidden="1">
      <c r="B55" s="73" t="s">
        <v>119</v>
      </c>
      <c r="E55" s="21"/>
    </row>
    <row r="56" spans="1:10" s="9" customFormat="1" hidden="1">
      <c r="B56" s="74" t="s">
        <v>77</v>
      </c>
      <c r="C56" s="35" t="s">
        <v>73</v>
      </c>
      <c r="D56" s="21"/>
    </row>
    <row r="57" spans="1:10" s="9" customFormat="1" hidden="1">
      <c r="B57" s="143" t="s">
        <v>120</v>
      </c>
      <c r="D57" s="21"/>
    </row>
    <row r="58" spans="1:10" s="9" customFormat="1" hidden="1">
      <c r="B58" s="9" t="s">
        <v>121</v>
      </c>
      <c r="D58" s="21"/>
    </row>
    <row r="59" spans="1:10" s="9" customFormat="1" hidden="1">
      <c r="B59" s="9" t="s">
        <v>122</v>
      </c>
      <c r="D59" s="21"/>
    </row>
    <row r="60" spans="1:10" s="9" customFormat="1" hidden="1">
      <c r="B60" s="9" t="s">
        <v>123</v>
      </c>
      <c r="D60" s="21"/>
    </row>
    <row r="61" spans="1:10" s="9" customFormat="1" hidden="1">
      <c r="E61" s="21"/>
    </row>
    <row r="62" spans="1:10" s="9" customFormat="1" hidden="1">
      <c r="B62" s="143" t="s">
        <v>124</v>
      </c>
      <c r="C62" s="143" t="s">
        <v>125</v>
      </c>
      <c r="E62" s="21"/>
    </row>
    <row r="63" spans="1:10" s="9" customFormat="1" hidden="1">
      <c r="B63" s="77" t="s">
        <v>126</v>
      </c>
      <c r="C63" s="144">
        <v>0.5</v>
      </c>
      <c r="E63" s="21"/>
    </row>
    <row r="64" spans="1:10" s="9" customFormat="1" hidden="1">
      <c r="B64" s="9" t="s">
        <v>127</v>
      </c>
      <c r="E64" s="21"/>
    </row>
    <row r="65" spans="1:5" s="9" customFormat="1" hidden="1">
      <c r="B65" s="9" t="s">
        <v>128</v>
      </c>
      <c r="E65" s="21"/>
    </row>
    <row r="66" spans="1:5" s="9" customFormat="1" hidden="1">
      <c r="A66" s="21"/>
    </row>
    <row r="67" spans="1:5" s="9" customFormat="1" hidden="1">
      <c r="A67" s="21"/>
    </row>
    <row r="68" spans="1:5" s="9" customFormat="1">
      <c r="A68" s="21"/>
    </row>
    <row r="69" spans="1:5" s="9" customFormat="1">
      <c r="A69" s="21"/>
    </row>
    <row r="70" spans="1:5" s="9" customFormat="1" ht="20.100000000000001">
      <c r="A70" s="21"/>
      <c r="B70" s="73" t="s">
        <v>129</v>
      </c>
    </row>
    <row r="71" spans="1:5" s="9" customFormat="1">
      <c r="A71" s="21"/>
      <c r="B71" s="53" t="s">
        <v>130</v>
      </c>
      <c r="C71" s="53" t="s">
        <v>131</v>
      </c>
    </row>
    <row r="72" spans="1:5" s="9" customFormat="1">
      <c r="A72" s="21"/>
      <c r="B72" s="31" t="s">
        <v>132</v>
      </c>
      <c r="C72" s="224" t="s">
        <v>133</v>
      </c>
    </row>
    <row r="73" spans="1:5" s="9" customFormat="1">
      <c r="A73" s="21"/>
      <c r="B73" s="31" t="s">
        <v>134</v>
      </c>
      <c r="C73" s="225" t="s">
        <v>135</v>
      </c>
    </row>
    <row r="74" spans="1:5" s="9" customFormat="1">
      <c r="A74" s="21"/>
      <c r="B74" s="31" t="s">
        <v>136</v>
      </c>
      <c r="C74" s="33" t="s">
        <v>137</v>
      </c>
    </row>
    <row r="75" spans="1:5" s="9" customFormat="1">
      <c r="A75" s="21"/>
      <c r="B75" s="31" t="s">
        <v>138</v>
      </c>
      <c r="C75" s="33" t="s">
        <v>139</v>
      </c>
    </row>
    <row r="76" spans="1:5" s="9" customFormat="1">
      <c r="A76" s="21"/>
      <c r="B76" s="31" t="s">
        <v>140</v>
      </c>
      <c r="C76" s="33" t="s">
        <v>141</v>
      </c>
    </row>
    <row r="77" spans="1:5" s="9" customFormat="1">
      <c r="A77" s="21"/>
      <c r="B77" s="31" t="s">
        <v>142</v>
      </c>
      <c r="C77" s="33" t="s">
        <v>143</v>
      </c>
    </row>
    <row r="78" spans="1:5" s="9" customFormat="1">
      <c r="A78" s="21"/>
      <c r="B78" s="31" t="s">
        <v>144</v>
      </c>
      <c r="C78" s="33" t="s">
        <v>145</v>
      </c>
    </row>
    <row r="79" spans="1:5" s="9" customFormat="1">
      <c r="A79" s="21"/>
      <c r="B79" s="31" t="s">
        <v>146</v>
      </c>
      <c r="C79" s="33" t="s">
        <v>147</v>
      </c>
    </row>
    <row r="80" spans="1:5" s="9" customFormat="1">
      <c r="A80" s="21"/>
      <c r="B80" s="31" t="s">
        <v>148</v>
      </c>
      <c r="C80" s="33" t="s">
        <v>149</v>
      </c>
    </row>
    <row r="81" spans="1:3" s="9" customFormat="1">
      <c r="A81" s="21"/>
      <c r="B81" s="31" t="s">
        <v>150</v>
      </c>
      <c r="C81" s="33" t="s">
        <v>151</v>
      </c>
    </row>
    <row r="82" spans="1:3" s="9" customFormat="1">
      <c r="A82" s="21"/>
      <c r="B82" s="31" t="s">
        <v>152</v>
      </c>
      <c r="C82" s="33" t="s">
        <v>153</v>
      </c>
    </row>
    <row r="83" spans="1:3" s="9" customFormat="1">
      <c r="A83" s="21"/>
      <c r="B83" s="31" t="s">
        <v>154</v>
      </c>
      <c r="C83" s="33" t="s">
        <v>155</v>
      </c>
    </row>
    <row r="84" spans="1:3" s="9" customFormat="1">
      <c r="A84" s="21"/>
      <c r="B84" s="31" t="s">
        <v>156</v>
      </c>
      <c r="C84" s="33" t="s">
        <v>157</v>
      </c>
    </row>
    <row r="85" spans="1:3" s="9" customFormat="1">
      <c r="A85" s="21"/>
      <c r="B85" s="31" t="s">
        <v>158</v>
      </c>
      <c r="C85" s="33" t="s">
        <v>159</v>
      </c>
    </row>
    <row r="86" spans="1:3" s="9" customFormat="1">
      <c r="A86" s="21"/>
      <c r="B86" s="31" t="s">
        <v>160</v>
      </c>
      <c r="C86" s="33" t="s">
        <v>161</v>
      </c>
    </row>
    <row r="87" spans="1:3" s="9" customFormat="1">
      <c r="A87" s="21"/>
      <c r="B87" s="31" t="s">
        <v>162</v>
      </c>
      <c r="C87" s="33" t="s">
        <v>163</v>
      </c>
    </row>
    <row r="88" spans="1:3" s="9" customFormat="1">
      <c r="A88" s="21"/>
      <c r="B88" s="31" t="s">
        <v>164</v>
      </c>
      <c r="C88" s="33" t="s">
        <v>165</v>
      </c>
    </row>
    <row r="89" spans="1:3" s="9" customFormat="1">
      <c r="A89" s="21"/>
      <c r="B89" s="31" t="s">
        <v>166</v>
      </c>
      <c r="C89" s="224" t="s">
        <v>167</v>
      </c>
    </row>
    <row r="90" spans="1:3" s="9" customFormat="1">
      <c r="A90" s="21"/>
      <c r="B90" s="31" t="s">
        <v>168</v>
      </c>
      <c r="C90" s="33" t="s">
        <v>169</v>
      </c>
    </row>
    <row r="91" spans="1:3" s="9" customFormat="1">
      <c r="A91" s="21"/>
      <c r="B91" s="31" t="s">
        <v>132</v>
      </c>
      <c r="C91" s="224" t="s">
        <v>133</v>
      </c>
    </row>
    <row r="92" spans="1:3" s="9" customFormat="1">
      <c r="A92" s="21"/>
      <c r="B92" s="31" t="s">
        <v>134</v>
      </c>
      <c r="C92" s="225" t="s">
        <v>135</v>
      </c>
    </row>
    <row r="93" spans="1:3" s="9" customFormat="1">
      <c r="A93" s="21"/>
      <c r="B93" s="31" t="s">
        <v>136</v>
      </c>
      <c r="C93" s="33" t="s">
        <v>137</v>
      </c>
    </row>
    <row r="94" spans="1:3" s="9" customFormat="1">
      <c r="A94" s="21"/>
      <c r="B94" s="31" t="s">
        <v>170</v>
      </c>
      <c r="C94" s="31" t="s">
        <v>171</v>
      </c>
    </row>
    <row r="95" spans="1:3" s="9" customFormat="1">
      <c r="A95" s="21"/>
      <c r="B95" s="31" t="s">
        <v>138</v>
      </c>
      <c r="C95" s="33" t="s">
        <v>139</v>
      </c>
    </row>
    <row r="96" spans="1:3" s="9" customFormat="1">
      <c r="A96" s="21"/>
      <c r="B96" s="31" t="s">
        <v>140</v>
      </c>
      <c r="C96" s="33" t="s">
        <v>141</v>
      </c>
    </row>
    <row r="97" spans="1:3" s="9" customFormat="1">
      <c r="A97" s="21"/>
      <c r="B97" s="31" t="s">
        <v>142</v>
      </c>
      <c r="C97" s="33" t="s">
        <v>143</v>
      </c>
    </row>
    <row r="98" spans="1:3" s="9" customFormat="1">
      <c r="A98" s="21"/>
      <c r="B98" s="31" t="s">
        <v>144</v>
      </c>
      <c r="C98" s="33" t="s">
        <v>145</v>
      </c>
    </row>
    <row r="99" spans="1:3" s="9" customFormat="1">
      <c r="A99" s="21"/>
      <c r="B99" s="31" t="s">
        <v>172</v>
      </c>
      <c r="C99" s="31" t="s">
        <v>173</v>
      </c>
    </row>
    <row r="100" spans="1:3" s="9" customFormat="1">
      <c r="A100" s="21"/>
      <c r="B100" s="31" t="s">
        <v>174</v>
      </c>
      <c r="C100" s="31" t="s">
        <v>175</v>
      </c>
    </row>
    <row r="101" spans="1:3" s="9" customFormat="1">
      <c r="A101" s="21"/>
      <c r="B101" s="31" t="s">
        <v>176</v>
      </c>
      <c r="C101" s="226" t="s">
        <v>177</v>
      </c>
    </row>
    <row r="102" spans="1:3" s="9" customFormat="1">
      <c r="A102" s="21"/>
      <c r="B102" s="31" t="s">
        <v>146</v>
      </c>
      <c r="C102" s="33" t="s">
        <v>147</v>
      </c>
    </row>
    <row r="103" spans="1:3" s="9" customFormat="1">
      <c r="A103" s="21"/>
      <c r="B103" s="31" t="s">
        <v>148</v>
      </c>
      <c r="C103" s="33" t="s">
        <v>149</v>
      </c>
    </row>
    <row r="104" spans="1:3" s="9" customFormat="1">
      <c r="A104" s="21"/>
      <c r="B104" s="31" t="s">
        <v>150</v>
      </c>
      <c r="C104" s="33" t="s">
        <v>151</v>
      </c>
    </row>
    <row r="105" spans="1:3" s="9" customFormat="1">
      <c r="A105" s="21"/>
      <c r="B105" s="31" t="s">
        <v>152</v>
      </c>
      <c r="C105" s="33" t="s">
        <v>153</v>
      </c>
    </row>
    <row r="106" spans="1:3" s="9" customFormat="1">
      <c r="A106" s="21"/>
      <c r="B106" s="31" t="s">
        <v>154</v>
      </c>
      <c r="C106" s="33" t="s">
        <v>155</v>
      </c>
    </row>
    <row r="107" spans="1:3" s="9" customFormat="1">
      <c r="A107" s="21"/>
      <c r="B107" s="31" t="s">
        <v>156</v>
      </c>
      <c r="C107" s="33" t="s">
        <v>157</v>
      </c>
    </row>
    <row r="108" spans="1:3" s="9" customFormat="1">
      <c r="A108" s="21"/>
      <c r="B108" s="31" t="s">
        <v>158</v>
      </c>
      <c r="C108" s="33" t="s">
        <v>159</v>
      </c>
    </row>
    <row r="109" spans="1:3" s="9" customFormat="1">
      <c r="A109" s="21"/>
      <c r="B109" s="31" t="s">
        <v>160</v>
      </c>
      <c r="C109" s="33" t="s">
        <v>161</v>
      </c>
    </row>
    <row r="110" spans="1:3" s="9" customFormat="1">
      <c r="A110" s="21"/>
      <c r="B110" s="31" t="s">
        <v>162</v>
      </c>
      <c r="C110" s="33" t="s">
        <v>163</v>
      </c>
    </row>
    <row r="111" spans="1:3" s="9" customFormat="1">
      <c r="A111" s="21"/>
      <c r="B111" s="31" t="s">
        <v>178</v>
      </c>
      <c r="C111" s="31" t="s">
        <v>179</v>
      </c>
    </row>
    <row r="112" spans="1:3" s="9" customFormat="1">
      <c r="A112" s="21"/>
      <c r="B112" s="31" t="s">
        <v>164</v>
      </c>
      <c r="C112" s="33" t="s">
        <v>165</v>
      </c>
    </row>
    <row r="113" spans="1:9" s="9" customFormat="1">
      <c r="A113" s="21"/>
      <c r="B113" s="31" t="s">
        <v>166</v>
      </c>
      <c r="C113" s="224" t="s">
        <v>167</v>
      </c>
    </row>
    <row r="114" spans="1:9" s="9" customFormat="1">
      <c r="A114" s="21"/>
      <c r="B114" s="31" t="s">
        <v>168</v>
      </c>
      <c r="C114" s="33" t="s">
        <v>169</v>
      </c>
    </row>
    <row r="115" spans="1:9" s="9" customFormat="1">
      <c r="A115" s="21"/>
      <c r="B115" s="31" t="s">
        <v>180</v>
      </c>
      <c r="C115" s="31" t="s">
        <v>171</v>
      </c>
    </row>
    <row r="116" spans="1:9" s="9" customFormat="1">
      <c r="A116" s="21"/>
      <c r="B116" s="31" t="s">
        <v>181</v>
      </c>
      <c r="C116" s="226" t="s">
        <v>182</v>
      </c>
    </row>
    <row r="117" spans="1:9" s="9" customFormat="1">
      <c r="A117" s="21"/>
      <c r="B117" s="31" t="s">
        <v>183</v>
      </c>
      <c r="C117" s="226" t="s">
        <v>184</v>
      </c>
    </row>
    <row r="118" spans="1:9" s="9" customFormat="1">
      <c r="A118" s="21"/>
      <c r="B118" s="31" t="s">
        <v>185</v>
      </c>
      <c r="C118" s="31" t="s">
        <v>186</v>
      </c>
    </row>
    <row r="119" spans="1:9" s="9" customFormat="1">
      <c r="A119" s="21"/>
      <c r="B119" s="31" t="s">
        <v>187</v>
      </c>
      <c r="C119" s="226" t="s">
        <v>188</v>
      </c>
      <c r="I119" s="21"/>
    </row>
    <row r="120" spans="1:9" s="9" customFormat="1">
      <c r="A120" s="21"/>
      <c r="B120" s="31" t="s">
        <v>132</v>
      </c>
      <c r="C120" s="224" t="s">
        <v>133</v>
      </c>
      <c r="I120" s="21"/>
    </row>
    <row r="121" spans="1:9" s="9" customFormat="1">
      <c r="A121" s="21"/>
      <c r="B121" s="31" t="s">
        <v>134</v>
      </c>
      <c r="C121" s="225" t="s">
        <v>135</v>
      </c>
      <c r="I121" s="21"/>
    </row>
    <row r="122" spans="1:9" s="9" customFormat="1">
      <c r="A122" s="21"/>
      <c r="B122" s="31" t="s">
        <v>136</v>
      </c>
      <c r="C122" s="33" t="s">
        <v>137</v>
      </c>
      <c r="I122" s="21"/>
    </row>
    <row r="123" spans="1:9" s="9" customFormat="1">
      <c r="A123" s="21"/>
      <c r="B123" s="31" t="s">
        <v>170</v>
      </c>
      <c r="C123" s="31" t="s">
        <v>189</v>
      </c>
      <c r="I123" s="21"/>
    </row>
    <row r="124" spans="1:9" s="9" customFormat="1">
      <c r="A124" s="21"/>
      <c r="B124" s="31" t="s">
        <v>190</v>
      </c>
      <c r="C124" s="226" t="s">
        <v>191</v>
      </c>
      <c r="I124" s="21"/>
    </row>
    <row r="125" spans="1:9" s="9" customFormat="1">
      <c r="A125" s="21"/>
      <c r="B125" s="31" t="s">
        <v>192</v>
      </c>
      <c r="C125" s="31" t="s">
        <v>193</v>
      </c>
      <c r="I125" s="21"/>
    </row>
    <row r="126" spans="1:9" s="9" customFormat="1">
      <c r="A126" s="21"/>
      <c r="B126" s="31" t="s">
        <v>138</v>
      </c>
      <c r="C126" s="33" t="s">
        <v>139</v>
      </c>
      <c r="I126" s="21"/>
    </row>
    <row r="127" spans="1:9" s="9" customFormat="1">
      <c r="A127" s="21"/>
      <c r="B127" s="31" t="s">
        <v>140</v>
      </c>
      <c r="C127" s="33" t="s">
        <v>141</v>
      </c>
      <c r="I127" s="21"/>
    </row>
    <row r="128" spans="1:9" s="9" customFormat="1">
      <c r="A128" s="21"/>
      <c r="B128" s="31" t="s">
        <v>142</v>
      </c>
      <c r="C128" s="33" t="s">
        <v>143</v>
      </c>
      <c r="I128" s="21"/>
    </row>
    <row r="129" spans="1:9" s="9" customFormat="1">
      <c r="A129" s="21"/>
      <c r="B129" s="31" t="s">
        <v>144</v>
      </c>
      <c r="C129" s="33" t="s">
        <v>145</v>
      </c>
      <c r="I129" s="21"/>
    </row>
    <row r="130" spans="1:9" s="9" customFormat="1">
      <c r="A130" s="21"/>
      <c r="B130" s="31" t="s">
        <v>174</v>
      </c>
      <c r="C130" s="31" t="s">
        <v>194</v>
      </c>
      <c r="I130" s="21"/>
    </row>
    <row r="131" spans="1:9" s="9" customFormat="1">
      <c r="A131" s="21"/>
      <c r="B131" s="31" t="s">
        <v>195</v>
      </c>
      <c r="C131" s="31" t="s">
        <v>196</v>
      </c>
      <c r="I131" s="21"/>
    </row>
    <row r="132" spans="1:9" s="9" customFormat="1">
      <c r="A132" s="21"/>
      <c r="B132" s="31" t="s">
        <v>197</v>
      </c>
      <c r="C132" s="31" t="s">
        <v>198</v>
      </c>
      <c r="I132" s="21"/>
    </row>
    <row r="133" spans="1:9" s="9" customFormat="1">
      <c r="A133" s="21"/>
      <c r="B133" s="31" t="s">
        <v>146</v>
      </c>
      <c r="C133" s="33" t="s">
        <v>147</v>
      </c>
      <c r="I133" s="21"/>
    </row>
    <row r="134" spans="1:9" s="9" customFormat="1">
      <c r="A134" s="21"/>
      <c r="B134" s="31" t="s">
        <v>148</v>
      </c>
      <c r="C134" s="33" t="s">
        <v>149</v>
      </c>
      <c r="I134" s="21"/>
    </row>
    <row r="135" spans="1:9" s="9" customFormat="1">
      <c r="A135" s="21"/>
      <c r="B135" s="31" t="s">
        <v>150</v>
      </c>
      <c r="C135" s="33" t="s">
        <v>151</v>
      </c>
      <c r="I135" s="21"/>
    </row>
    <row r="136" spans="1:9" s="9" customFormat="1">
      <c r="A136" s="21"/>
      <c r="B136" s="31" t="s">
        <v>152</v>
      </c>
      <c r="C136" s="33" t="s">
        <v>153</v>
      </c>
      <c r="I136" s="21"/>
    </row>
    <row r="137" spans="1:9" s="9" customFormat="1">
      <c r="A137" s="21"/>
      <c r="B137" s="31" t="s">
        <v>199</v>
      </c>
      <c r="C137" s="31" t="s">
        <v>200</v>
      </c>
      <c r="I137" s="21"/>
    </row>
    <row r="138" spans="1:9" s="9" customFormat="1">
      <c r="A138" s="21"/>
      <c r="B138" s="31" t="s">
        <v>201</v>
      </c>
      <c r="C138" s="31" t="s">
        <v>200</v>
      </c>
      <c r="I138" s="21"/>
    </row>
    <row r="139" spans="1:9" s="9" customFormat="1">
      <c r="A139" s="21"/>
      <c r="B139" s="31" t="s">
        <v>154</v>
      </c>
      <c r="C139" s="33" t="s">
        <v>155</v>
      </c>
      <c r="I139" s="21"/>
    </row>
    <row r="140" spans="1:9" s="9" customFormat="1">
      <c r="A140" s="21"/>
      <c r="B140" s="31" t="s">
        <v>156</v>
      </c>
      <c r="C140" s="33" t="s">
        <v>157</v>
      </c>
      <c r="I140" s="21"/>
    </row>
    <row r="141" spans="1:9" s="9" customFormat="1">
      <c r="A141" s="21"/>
      <c r="B141" s="31" t="s">
        <v>158</v>
      </c>
      <c r="C141" s="33" t="s">
        <v>159</v>
      </c>
      <c r="I141" s="21"/>
    </row>
    <row r="142" spans="1:9" s="9" customFormat="1">
      <c r="A142" s="21"/>
      <c r="B142" s="31" t="s">
        <v>160</v>
      </c>
      <c r="C142" s="33" t="s">
        <v>161</v>
      </c>
      <c r="I142" s="21"/>
    </row>
    <row r="143" spans="1:9" s="9" customFormat="1">
      <c r="A143" s="21"/>
      <c r="B143" s="31" t="s">
        <v>162</v>
      </c>
      <c r="C143" s="33" t="s">
        <v>163</v>
      </c>
      <c r="I143" s="21"/>
    </row>
    <row r="144" spans="1:9" s="9" customFormat="1">
      <c r="A144" s="21"/>
      <c r="B144" s="31" t="s">
        <v>202</v>
      </c>
      <c r="C144" s="31" t="s">
        <v>203</v>
      </c>
      <c r="I144" s="21"/>
    </row>
    <row r="145" spans="1:9" s="9" customFormat="1">
      <c r="A145" s="21"/>
      <c r="B145" s="31" t="s">
        <v>164</v>
      </c>
      <c r="C145" s="33" t="s">
        <v>165</v>
      </c>
      <c r="I145" s="21"/>
    </row>
    <row r="146" spans="1:9" s="9" customFormat="1">
      <c r="A146" s="21"/>
      <c r="B146" s="31" t="s">
        <v>166</v>
      </c>
      <c r="C146" s="224" t="s">
        <v>167</v>
      </c>
      <c r="I146" s="21"/>
    </row>
    <row r="147" spans="1:9" s="9" customFormat="1">
      <c r="A147" s="21"/>
      <c r="B147" s="31" t="s">
        <v>168</v>
      </c>
      <c r="C147" s="33" t="s">
        <v>169</v>
      </c>
      <c r="I147" s="21"/>
    </row>
    <row r="148" spans="1:9" s="9" customFormat="1">
      <c r="A148" s="21"/>
      <c r="B148" s="31" t="s">
        <v>132</v>
      </c>
      <c r="C148" s="224" t="s">
        <v>133</v>
      </c>
      <c r="G148" s="21"/>
    </row>
    <row r="149" spans="1:9" s="9" customFormat="1">
      <c r="A149" s="21"/>
      <c r="B149" s="31" t="s">
        <v>134</v>
      </c>
      <c r="C149" s="225" t="s">
        <v>135</v>
      </c>
      <c r="G149" s="21"/>
    </row>
    <row r="150" spans="1:9" s="9" customFormat="1">
      <c r="A150" s="21"/>
      <c r="B150" s="31" t="s">
        <v>136</v>
      </c>
      <c r="C150" s="33" t="s">
        <v>137</v>
      </c>
      <c r="G150" s="21"/>
    </row>
    <row r="151" spans="1:9" s="9" customFormat="1">
      <c r="A151" s="21"/>
      <c r="B151" s="31" t="s">
        <v>204</v>
      </c>
      <c r="C151" s="31" t="s">
        <v>205</v>
      </c>
      <c r="G151" s="21"/>
    </row>
    <row r="152" spans="1:9" s="9" customFormat="1">
      <c r="A152" s="21"/>
      <c r="B152" s="31" t="s">
        <v>138</v>
      </c>
      <c r="C152" s="33" t="s">
        <v>139</v>
      </c>
      <c r="G152" s="21"/>
    </row>
    <row r="153" spans="1:9" s="9" customFormat="1">
      <c r="A153" s="21"/>
      <c r="B153" s="31" t="s">
        <v>140</v>
      </c>
      <c r="C153" s="33" t="s">
        <v>141</v>
      </c>
      <c r="G153" s="21"/>
    </row>
    <row r="154" spans="1:9" s="9" customFormat="1">
      <c r="A154" s="21"/>
      <c r="B154" s="31" t="s">
        <v>206</v>
      </c>
      <c r="C154" s="31" t="s">
        <v>207</v>
      </c>
      <c r="G154" s="21"/>
    </row>
    <row r="155" spans="1:9" s="9" customFormat="1">
      <c r="A155" s="21"/>
      <c r="B155" s="31" t="s">
        <v>208</v>
      </c>
      <c r="C155" s="31" t="s">
        <v>209</v>
      </c>
      <c r="G155" s="21"/>
    </row>
    <row r="156" spans="1:9" s="9" customFormat="1">
      <c r="A156" s="21"/>
      <c r="B156" s="31" t="s">
        <v>210</v>
      </c>
      <c r="C156" s="31" t="s">
        <v>211</v>
      </c>
      <c r="G156" s="21"/>
    </row>
    <row r="157" spans="1:9" s="9" customFormat="1">
      <c r="A157" s="21"/>
      <c r="B157" s="31" t="s">
        <v>212</v>
      </c>
      <c r="C157" s="31" t="s">
        <v>213</v>
      </c>
      <c r="G157" s="21"/>
    </row>
    <row r="158" spans="1:9" s="9" customFormat="1">
      <c r="A158" s="21"/>
      <c r="B158" s="31" t="s">
        <v>142</v>
      </c>
      <c r="C158" s="33" t="s">
        <v>143</v>
      </c>
      <c r="G158" s="21"/>
    </row>
    <row r="159" spans="1:9" s="9" customFormat="1">
      <c r="A159" s="21"/>
      <c r="B159" s="31" t="s">
        <v>144</v>
      </c>
      <c r="C159" s="33" t="s">
        <v>145</v>
      </c>
      <c r="G159" s="21"/>
    </row>
    <row r="160" spans="1:9" s="9" customFormat="1">
      <c r="A160" s="21"/>
      <c r="B160" s="31" t="s">
        <v>214</v>
      </c>
      <c r="C160" s="31" t="s">
        <v>215</v>
      </c>
      <c r="G160" s="21"/>
    </row>
    <row r="161" spans="1:7" s="9" customFormat="1">
      <c r="A161" s="21"/>
      <c r="B161" s="31" t="s">
        <v>216</v>
      </c>
      <c r="C161" s="31" t="s">
        <v>217</v>
      </c>
      <c r="G161" s="21"/>
    </row>
    <row r="162" spans="1:7" s="9" customFormat="1">
      <c r="A162" s="21"/>
      <c r="B162" s="31" t="s">
        <v>218</v>
      </c>
      <c r="C162" s="31" t="s">
        <v>219</v>
      </c>
      <c r="G162" s="21"/>
    </row>
    <row r="163" spans="1:7" s="9" customFormat="1">
      <c r="A163" s="21"/>
      <c r="B163" s="31" t="s">
        <v>220</v>
      </c>
      <c r="C163" s="31" t="s">
        <v>221</v>
      </c>
      <c r="G163" s="21"/>
    </row>
    <row r="164" spans="1:7" s="9" customFormat="1">
      <c r="A164" s="21"/>
      <c r="B164" s="31" t="s">
        <v>222</v>
      </c>
      <c r="C164" s="31" t="s">
        <v>223</v>
      </c>
      <c r="G164" s="21"/>
    </row>
    <row r="165" spans="1:7" s="9" customFormat="1">
      <c r="A165" s="21"/>
      <c r="B165" s="31" t="s">
        <v>224</v>
      </c>
      <c r="C165" s="31" t="s">
        <v>225</v>
      </c>
      <c r="G165" s="21"/>
    </row>
    <row r="166" spans="1:7" s="9" customFormat="1">
      <c r="A166" s="21"/>
      <c r="B166" s="31" t="s">
        <v>226</v>
      </c>
      <c r="C166" s="227" t="s">
        <v>227</v>
      </c>
      <c r="G166" s="21"/>
    </row>
    <row r="167" spans="1:7" s="9" customFormat="1">
      <c r="A167" s="21"/>
      <c r="B167" s="31" t="s">
        <v>228</v>
      </c>
      <c r="C167" s="31" t="s">
        <v>229</v>
      </c>
      <c r="G167" s="21"/>
    </row>
    <row r="168" spans="1:7" s="9" customFormat="1">
      <c r="A168" s="21"/>
      <c r="B168" s="31" t="s">
        <v>230</v>
      </c>
      <c r="C168" s="31" t="s">
        <v>231</v>
      </c>
      <c r="G168" s="21"/>
    </row>
    <row r="169" spans="1:7" s="9" customFormat="1">
      <c r="A169" s="21"/>
      <c r="B169" s="31" t="s">
        <v>232</v>
      </c>
      <c r="C169" s="31" t="s">
        <v>233</v>
      </c>
      <c r="G169" s="21"/>
    </row>
    <row r="170" spans="1:7" s="9" customFormat="1">
      <c r="A170" s="21"/>
      <c r="B170" s="31" t="s">
        <v>234</v>
      </c>
      <c r="C170" s="31" t="s">
        <v>235</v>
      </c>
      <c r="G170" s="21"/>
    </row>
    <row r="171" spans="1:7" s="9" customFormat="1">
      <c r="A171" s="21"/>
      <c r="B171" s="31" t="s">
        <v>236</v>
      </c>
      <c r="C171" s="31" t="s">
        <v>237</v>
      </c>
      <c r="G171" s="21"/>
    </row>
    <row r="172" spans="1:7" s="9" customFormat="1">
      <c r="A172" s="21"/>
      <c r="B172" s="31" t="s">
        <v>238</v>
      </c>
      <c r="C172" s="31" t="s">
        <v>239</v>
      </c>
      <c r="G172" s="21"/>
    </row>
    <row r="173" spans="1:7" s="9" customFormat="1">
      <c r="A173" s="21"/>
      <c r="B173" s="31" t="s">
        <v>240</v>
      </c>
      <c r="C173" s="31" t="s">
        <v>241</v>
      </c>
      <c r="G173" s="21"/>
    </row>
    <row r="174" spans="1:7" s="9" customFormat="1">
      <c r="A174" s="21"/>
      <c r="B174" s="31" t="s">
        <v>242</v>
      </c>
      <c r="C174" s="31" t="s">
        <v>243</v>
      </c>
      <c r="G174" s="21"/>
    </row>
    <row r="175" spans="1:7" s="9" customFormat="1">
      <c r="A175" s="21"/>
      <c r="B175" s="31" t="s">
        <v>244</v>
      </c>
      <c r="C175" s="31" t="s">
        <v>245</v>
      </c>
      <c r="G175" s="21"/>
    </row>
    <row r="176" spans="1:7" s="9" customFormat="1">
      <c r="A176" s="21"/>
      <c r="B176" s="31" t="s">
        <v>246</v>
      </c>
      <c r="C176" s="31" t="s">
        <v>247</v>
      </c>
      <c r="G176" s="21"/>
    </row>
    <row r="177" spans="1:7" s="9" customFormat="1">
      <c r="A177" s="21"/>
      <c r="B177" s="31" t="s">
        <v>248</v>
      </c>
      <c r="C177" s="31" t="s">
        <v>249</v>
      </c>
      <c r="G177" s="21"/>
    </row>
    <row r="178" spans="1:7" s="9" customFormat="1">
      <c r="A178" s="21"/>
      <c r="B178" s="31" t="s">
        <v>250</v>
      </c>
      <c r="C178" s="31" t="s">
        <v>251</v>
      </c>
      <c r="G178" s="21"/>
    </row>
    <row r="179" spans="1:7" s="9" customFormat="1">
      <c r="A179" s="21"/>
      <c r="B179" s="31" t="s">
        <v>252</v>
      </c>
      <c r="C179" s="31" t="s">
        <v>253</v>
      </c>
      <c r="G179" s="21"/>
    </row>
    <row r="180" spans="1:7" s="9" customFormat="1">
      <c r="A180" s="21"/>
      <c r="B180" s="31" t="s">
        <v>254</v>
      </c>
      <c r="C180" s="31" t="s">
        <v>255</v>
      </c>
      <c r="G180" s="21"/>
    </row>
    <row r="181" spans="1:7" s="9" customFormat="1">
      <c r="A181" s="21"/>
      <c r="B181" s="31" t="s">
        <v>256</v>
      </c>
      <c r="C181" s="33" t="s">
        <v>257</v>
      </c>
      <c r="G181" s="21"/>
    </row>
    <row r="182" spans="1:7" s="9" customFormat="1">
      <c r="A182" s="21"/>
      <c r="B182" s="31" t="s">
        <v>258</v>
      </c>
      <c r="C182" s="33" t="s">
        <v>259</v>
      </c>
      <c r="G182" s="21"/>
    </row>
    <row r="183" spans="1:7" s="9" customFormat="1">
      <c r="A183" s="21"/>
      <c r="B183" s="31" t="s">
        <v>260</v>
      </c>
      <c r="C183" s="33" t="s">
        <v>261</v>
      </c>
      <c r="G183" s="21"/>
    </row>
    <row r="184" spans="1:7" s="9" customFormat="1">
      <c r="A184" s="21"/>
      <c r="B184" s="31" t="s">
        <v>146</v>
      </c>
      <c r="C184" s="33" t="s">
        <v>147</v>
      </c>
      <c r="G184" s="21"/>
    </row>
    <row r="185" spans="1:7" s="9" customFormat="1">
      <c r="A185" s="21"/>
      <c r="B185" s="31" t="s">
        <v>148</v>
      </c>
      <c r="C185" s="33" t="s">
        <v>149</v>
      </c>
      <c r="E185" s="10"/>
      <c r="F185" s="10"/>
      <c r="G185" s="21"/>
    </row>
    <row r="186" spans="1:7" s="9" customFormat="1">
      <c r="A186" s="21"/>
      <c r="B186" s="31" t="s">
        <v>150</v>
      </c>
      <c r="C186" s="33" t="s">
        <v>151</v>
      </c>
      <c r="G186" s="21"/>
    </row>
    <row r="187" spans="1:7" s="9" customFormat="1">
      <c r="A187" s="21"/>
      <c r="B187" s="31" t="s">
        <v>152</v>
      </c>
      <c r="C187" s="33" t="s">
        <v>153</v>
      </c>
      <c r="G187" s="21"/>
    </row>
    <row r="188" spans="1:7" s="9" customFormat="1">
      <c r="A188" s="21"/>
      <c r="B188" s="31" t="s">
        <v>154</v>
      </c>
      <c r="C188" s="31" t="s">
        <v>155</v>
      </c>
      <c r="G188" s="21"/>
    </row>
    <row r="189" spans="1:7" s="9" customFormat="1">
      <c r="A189" s="21"/>
      <c r="B189" s="31" t="s">
        <v>156</v>
      </c>
      <c r="C189" s="33" t="s">
        <v>157</v>
      </c>
      <c r="G189" s="21"/>
    </row>
    <row r="190" spans="1:7" s="9" customFormat="1">
      <c r="A190" s="21"/>
      <c r="B190" s="31" t="s">
        <v>158</v>
      </c>
      <c r="C190" s="224" t="s">
        <v>159</v>
      </c>
      <c r="G190" s="21"/>
    </row>
    <row r="191" spans="1:7" s="9" customFormat="1">
      <c r="A191" s="21"/>
      <c r="B191" s="31" t="s">
        <v>160</v>
      </c>
      <c r="C191" s="31" t="s">
        <v>161</v>
      </c>
      <c r="G191" s="21"/>
    </row>
    <row r="192" spans="1:7" s="9" customFormat="1">
      <c r="A192" s="21"/>
      <c r="B192" s="31" t="s">
        <v>162</v>
      </c>
      <c r="C192" s="33" t="s">
        <v>163</v>
      </c>
      <c r="G192" s="21"/>
    </row>
    <row r="193" spans="1:9" s="9" customFormat="1">
      <c r="A193" s="21"/>
      <c r="B193" s="31" t="s">
        <v>202</v>
      </c>
      <c r="C193" s="31" t="s">
        <v>262</v>
      </c>
      <c r="G193" s="21"/>
    </row>
    <row r="194" spans="1:9" s="9" customFormat="1">
      <c r="A194" s="21"/>
      <c r="B194" s="31" t="s">
        <v>164</v>
      </c>
      <c r="C194" s="31" t="s">
        <v>165</v>
      </c>
      <c r="G194" s="21"/>
    </row>
    <row r="195" spans="1:9" s="9" customFormat="1">
      <c r="A195" s="21"/>
      <c r="B195" s="31" t="s">
        <v>166</v>
      </c>
      <c r="C195" s="31" t="s">
        <v>167</v>
      </c>
      <c r="G195" s="21"/>
    </row>
    <row r="196" spans="1:9" s="9" customFormat="1">
      <c r="A196" s="21"/>
      <c r="B196" s="31" t="s">
        <v>263</v>
      </c>
      <c r="C196" s="31" t="s">
        <v>264</v>
      </c>
      <c r="G196" s="21"/>
    </row>
    <row r="197" spans="1:9" s="9" customFormat="1">
      <c r="A197" s="21"/>
      <c r="B197" s="31" t="s">
        <v>168</v>
      </c>
      <c r="C197" s="31" t="s">
        <v>169</v>
      </c>
      <c r="G197" s="21"/>
    </row>
    <row r="198" spans="1:9" s="9" customFormat="1">
      <c r="A198" s="21"/>
      <c r="B198" s="31" t="s">
        <v>265</v>
      </c>
      <c r="C198" s="31" t="s">
        <v>266</v>
      </c>
      <c r="G198" s="21"/>
    </row>
    <row r="199" spans="1:9" s="9" customFormat="1">
      <c r="A199" s="21"/>
      <c r="B199" s="31" t="s">
        <v>267</v>
      </c>
      <c r="C199" s="31" t="s">
        <v>268</v>
      </c>
      <c r="G199" s="21"/>
    </row>
    <row r="200" spans="1:9" s="9" customFormat="1">
      <c r="A200" s="21"/>
      <c r="I200" s="21"/>
    </row>
    <row r="201" spans="1:9" s="9" customFormat="1">
      <c r="A201" s="21"/>
      <c r="I201" s="21"/>
    </row>
    <row r="202" spans="1:9" s="9" customFormat="1">
      <c r="A202" s="21"/>
      <c r="I202" s="21"/>
    </row>
    <row r="203" spans="1:9" s="9" customFormat="1">
      <c r="A203" s="21"/>
      <c r="I203" s="21"/>
    </row>
    <row r="204" spans="1:9" s="9" customFormat="1">
      <c r="A204" s="21"/>
      <c r="B204" s="10"/>
      <c r="C204" s="10"/>
      <c r="D204" s="10"/>
      <c r="I204" s="21"/>
    </row>
    <row r="205" spans="1:9" s="9" customFormat="1">
      <c r="A205" s="21"/>
      <c r="B205" s="10"/>
      <c r="C205" s="10"/>
      <c r="D205" s="10"/>
      <c r="I205" s="21"/>
    </row>
    <row r="206" spans="1:9" s="9" customFormat="1">
      <c r="A206" s="21"/>
      <c r="B206" s="10"/>
      <c r="C206" s="10"/>
      <c r="D206" s="10"/>
      <c r="E206" s="10"/>
      <c r="F206" s="10"/>
      <c r="I206" s="21"/>
    </row>
    <row r="207" spans="1:9" s="9" customFormat="1">
      <c r="A207" s="21"/>
      <c r="B207" s="10"/>
      <c r="C207" s="10"/>
      <c r="D207" s="10"/>
      <c r="E207" s="10"/>
      <c r="F207" s="10"/>
      <c r="I207" s="21"/>
    </row>
    <row r="208" spans="1:9" s="9" customFormat="1">
      <c r="A208" s="21"/>
      <c r="B208" s="10"/>
      <c r="C208" s="10"/>
      <c r="D208" s="10"/>
      <c r="E208" s="10"/>
      <c r="F208" s="10"/>
      <c r="I208" s="21"/>
    </row>
    <row r="209" spans="1:9" s="9" customFormat="1">
      <c r="A209" s="21"/>
      <c r="B209" s="10"/>
      <c r="C209" s="10"/>
      <c r="D209" s="10"/>
      <c r="E209" s="10"/>
      <c r="F209" s="10"/>
      <c r="G209" s="10"/>
      <c r="I209" s="21"/>
    </row>
  </sheetData>
  <sheetProtection algorithmName="SHA-512" hashValue="5OVgLW1fyllwyADkN0z0tsXkgiMNxw4Hn6gbxzrd+yApthGYcA3q09k8gy217oFvMaVSSc6wwgkYWs1FzelEuA==" saltValue="OPGQLjbb0MJ+Uj4rK4Gk2w==" spinCount="100000" sheet="1" objects="1" scenarios="1"/>
  <phoneticPr fontId="55" type="noConversion"/>
  <hyperlinks>
    <hyperlink ref="D14" r:id="rId1" xr:uid="{3EEBCF7D-48D6-451D-B46D-0A3E53E8697B}"/>
    <hyperlink ref="D15" r:id="rId2" xr:uid="{A5A6AD28-8B3A-435C-8952-69691A5FC741}"/>
    <hyperlink ref="D27" r:id="rId3" xr:uid="{9901F084-3D0C-4878-95BC-EEC2C822DE71}"/>
    <hyperlink ref="D26" r:id="rId4" xr:uid="{477C3F30-C065-417E-A8A4-29F7FE03E4FE}"/>
    <hyperlink ref="D21" r:id="rId5" xr:uid="{5A7492A0-24FF-4BCB-9CC9-3EC514C7FE0B}"/>
    <hyperlink ref="D19" r:id="rId6" xr:uid="{D04B7D21-E695-4070-84C1-16C53B0E3971}"/>
    <hyperlink ref="D12" r:id="rId7" xr:uid="{13131348-0749-4030-BD4A-1D9AD690AC27}"/>
    <hyperlink ref="D13" r:id="rId8" xr:uid="{D71AE401-0913-4B2C-B133-9C2B1D1FB648}"/>
  </hyperlinks>
  <pageMargins left="0.7" right="0.7" top="0.75" bottom="0.75" header="0.3" footer="0.3"/>
  <drawing r:id="rId9"/>
  <tableParts count="2">
    <tablePart r:id="rId10"/>
    <tablePart r:id="rId1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EA715-AAD1-40A1-81C0-B52D1E017C38}">
  <sheetPr codeName="Sheet3">
    <tabColor theme="4"/>
  </sheetPr>
  <dimension ref="A1:S151"/>
  <sheetViews>
    <sheetView workbookViewId="0">
      <selection activeCell="D73" sqref="D73"/>
    </sheetView>
  </sheetViews>
  <sheetFormatPr defaultColWidth="8.85546875" defaultRowHeight="15"/>
  <cols>
    <col min="1" max="1" width="20.140625" style="10" customWidth="1"/>
    <col min="2" max="2" width="27.42578125" style="10" bestFit="1" customWidth="1"/>
    <col min="3" max="3" width="36.5703125" style="10" bestFit="1" customWidth="1"/>
    <col min="4" max="4" width="32.5703125" style="10" bestFit="1" customWidth="1"/>
    <col min="5" max="5" width="90" style="10" bestFit="1" customWidth="1"/>
    <col min="6" max="6" width="26.5703125" style="9" bestFit="1" customWidth="1"/>
    <col min="7" max="19" width="8.85546875" style="9"/>
    <col min="20" max="16384" width="8.85546875" style="10"/>
  </cols>
  <sheetData>
    <row r="1" spans="1:19" s="11" customFormat="1" ht="34.5">
      <c r="A1" s="4" t="s">
        <v>0</v>
      </c>
      <c r="B1" s="5"/>
      <c r="C1" s="5"/>
      <c r="F1" s="5"/>
      <c r="G1" s="9"/>
      <c r="H1" s="9"/>
      <c r="I1" s="9"/>
      <c r="J1" s="78"/>
      <c r="K1" s="9"/>
      <c r="L1" s="9"/>
      <c r="M1" s="9"/>
      <c r="N1" s="9"/>
      <c r="O1" s="9"/>
      <c r="P1" s="9"/>
      <c r="Q1" s="9"/>
      <c r="R1" s="9"/>
      <c r="S1" s="9"/>
    </row>
    <row r="2" spans="1:19" s="11" customFormat="1" ht="20.100000000000001">
      <c r="A2" s="6" t="s">
        <v>10</v>
      </c>
      <c r="G2" s="9"/>
      <c r="H2" s="9"/>
      <c r="I2" s="9"/>
      <c r="J2" s="9"/>
      <c r="K2" s="9"/>
      <c r="L2" s="9"/>
      <c r="M2" s="9"/>
      <c r="N2" s="9"/>
      <c r="O2" s="9"/>
      <c r="P2" s="9"/>
      <c r="Q2" s="9"/>
      <c r="R2" s="9"/>
      <c r="S2" s="9"/>
    </row>
    <row r="3" spans="1:19" s="11" customFormat="1">
      <c r="G3" s="9"/>
      <c r="H3" s="9"/>
      <c r="I3" s="9"/>
      <c r="J3" s="9"/>
      <c r="K3" s="9"/>
      <c r="L3" s="9"/>
      <c r="M3" s="9"/>
      <c r="N3" s="9"/>
      <c r="O3" s="9"/>
      <c r="P3" s="9"/>
      <c r="Q3" s="9"/>
      <c r="R3" s="9"/>
      <c r="S3" s="9"/>
    </row>
    <row r="4" spans="1:19" s="9" customFormat="1"/>
    <row r="5" spans="1:19" s="9" customFormat="1"/>
    <row r="6" spans="1:19" s="9" customFormat="1"/>
    <row r="7" spans="1:19" s="9" customFormat="1"/>
    <row r="8" spans="1:19">
      <c r="A8" s="53" t="s">
        <v>269</v>
      </c>
      <c r="B8" s="53" t="s">
        <v>270</v>
      </c>
      <c r="C8" s="53" t="s">
        <v>271</v>
      </c>
      <c r="D8" s="53" t="s">
        <v>77</v>
      </c>
      <c r="E8" s="53" t="s">
        <v>3</v>
      </c>
      <c r="F8" s="53" t="s">
        <v>272</v>
      </c>
    </row>
    <row r="9" spans="1:19" ht="15" customHeight="1">
      <c r="A9" s="243" t="s">
        <v>8</v>
      </c>
      <c r="B9" s="246" t="s">
        <v>273</v>
      </c>
      <c r="C9" s="249" t="s">
        <v>274</v>
      </c>
      <c r="D9" s="25" t="s">
        <v>275</v>
      </c>
      <c r="E9" s="31" t="s">
        <v>276</v>
      </c>
      <c r="F9" s="31" t="s">
        <v>277</v>
      </c>
    </row>
    <row r="10" spans="1:19" ht="15" customHeight="1">
      <c r="A10" s="244"/>
      <c r="B10" s="247"/>
      <c r="C10" s="251"/>
      <c r="D10" s="25" t="s">
        <v>278</v>
      </c>
      <c r="E10" s="31" t="s">
        <v>279</v>
      </c>
      <c r="F10" s="31" t="s">
        <v>125</v>
      </c>
    </row>
    <row r="11" spans="1:19" ht="15" customHeight="1">
      <c r="A11" s="244"/>
      <c r="B11" s="247"/>
      <c r="C11" s="251"/>
      <c r="D11" s="25" t="s">
        <v>280</v>
      </c>
      <c r="E11" s="31" t="s">
        <v>281</v>
      </c>
      <c r="F11" s="31" t="s">
        <v>125</v>
      </c>
    </row>
    <row r="12" spans="1:19" ht="15" customHeight="1">
      <c r="A12" s="244"/>
      <c r="B12" s="247"/>
      <c r="C12" s="250"/>
      <c r="D12" s="25" t="s">
        <v>61</v>
      </c>
      <c r="E12" s="31" t="s">
        <v>282</v>
      </c>
      <c r="F12" s="31" t="s">
        <v>125</v>
      </c>
    </row>
    <row r="13" spans="1:19" ht="15" customHeight="1">
      <c r="A13" s="244"/>
      <c r="B13" s="247"/>
      <c r="C13" s="249" t="s">
        <v>85</v>
      </c>
      <c r="D13" s="25" t="s">
        <v>86</v>
      </c>
      <c r="E13" s="31" t="s">
        <v>283</v>
      </c>
      <c r="F13" s="31" t="s">
        <v>284</v>
      </c>
    </row>
    <row r="14" spans="1:19" ht="15" customHeight="1">
      <c r="A14" s="244"/>
      <c r="B14" s="247"/>
      <c r="C14" s="251"/>
      <c r="D14" s="25" t="s">
        <v>88</v>
      </c>
      <c r="E14" s="31" t="s">
        <v>285</v>
      </c>
      <c r="F14" s="31" t="s">
        <v>284</v>
      </c>
    </row>
    <row r="15" spans="1:19" ht="15" customHeight="1">
      <c r="A15" s="244"/>
      <c r="B15" s="247"/>
      <c r="C15" s="251"/>
      <c r="D15" s="25" t="s">
        <v>90</v>
      </c>
      <c r="E15" s="31" t="s">
        <v>286</v>
      </c>
      <c r="F15" s="31" t="s">
        <v>287</v>
      </c>
    </row>
    <row r="16" spans="1:19" ht="15" customHeight="1">
      <c r="A16" s="244"/>
      <c r="B16" s="247"/>
      <c r="C16" s="250"/>
      <c r="D16" s="25" t="s">
        <v>91</v>
      </c>
      <c r="E16" s="31" t="s">
        <v>288</v>
      </c>
      <c r="F16" s="31" t="s">
        <v>289</v>
      </c>
    </row>
    <row r="17" spans="1:6" ht="15" customHeight="1">
      <c r="A17" s="244"/>
      <c r="B17" s="247"/>
      <c r="C17" s="249" t="s">
        <v>92</v>
      </c>
      <c r="D17" s="25" t="s">
        <v>93</v>
      </c>
      <c r="E17" s="31" t="s">
        <v>290</v>
      </c>
      <c r="F17" s="31" t="s">
        <v>291</v>
      </c>
    </row>
    <row r="18" spans="1:6" ht="15" customHeight="1">
      <c r="A18" s="244"/>
      <c r="B18" s="247"/>
      <c r="C18" s="251"/>
      <c r="D18" s="25" t="s">
        <v>95</v>
      </c>
      <c r="E18" s="31" t="s">
        <v>292</v>
      </c>
      <c r="F18" s="31" t="s">
        <v>291</v>
      </c>
    </row>
    <row r="19" spans="1:6" ht="15" customHeight="1">
      <c r="A19" s="244"/>
      <c r="B19" s="247"/>
      <c r="C19" s="250"/>
      <c r="D19" s="25" t="s">
        <v>97</v>
      </c>
      <c r="E19" s="31" t="s">
        <v>293</v>
      </c>
      <c r="F19" s="31" t="s">
        <v>291</v>
      </c>
    </row>
    <row r="20" spans="1:6" ht="15" customHeight="1">
      <c r="A20" s="244"/>
      <c r="B20" s="247"/>
      <c r="C20" s="249" t="s">
        <v>294</v>
      </c>
      <c r="D20" s="25" t="s">
        <v>100</v>
      </c>
      <c r="E20" s="31" t="s">
        <v>295</v>
      </c>
      <c r="F20" s="31" t="s">
        <v>296</v>
      </c>
    </row>
    <row r="21" spans="1:6" ht="15" customHeight="1">
      <c r="A21" s="244"/>
      <c r="B21" s="247"/>
      <c r="C21" s="251"/>
      <c r="D21" s="25" t="s">
        <v>101</v>
      </c>
      <c r="E21" s="31" t="s">
        <v>297</v>
      </c>
      <c r="F21" s="31" t="s">
        <v>296</v>
      </c>
    </row>
    <row r="22" spans="1:6" ht="15" customHeight="1">
      <c r="A22" s="244"/>
      <c r="B22" s="247"/>
      <c r="C22" s="251"/>
      <c r="D22" s="25" t="s">
        <v>102</v>
      </c>
      <c r="E22" s="31" t="s">
        <v>298</v>
      </c>
      <c r="F22" s="31" t="s">
        <v>296</v>
      </c>
    </row>
    <row r="23" spans="1:6" ht="15" customHeight="1">
      <c r="A23" s="244"/>
      <c r="B23" s="247"/>
      <c r="C23" s="251"/>
      <c r="D23" s="25" t="s">
        <v>103</v>
      </c>
      <c r="E23" s="31" t="s">
        <v>299</v>
      </c>
      <c r="F23" s="31" t="s">
        <v>296</v>
      </c>
    </row>
    <row r="24" spans="1:6" ht="15" customHeight="1">
      <c r="A24" s="244"/>
      <c r="B24" s="247"/>
      <c r="C24" s="251"/>
      <c r="D24" s="25" t="s">
        <v>104</v>
      </c>
      <c r="E24" s="31" t="s">
        <v>300</v>
      </c>
      <c r="F24" s="31" t="s">
        <v>296</v>
      </c>
    </row>
    <row r="25" spans="1:6" ht="15" customHeight="1">
      <c r="A25" s="244"/>
      <c r="B25" s="247"/>
      <c r="C25" s="251"/>
      <c r="D25" s="25" t="s">
        <v>105</v>
      </c>
      <c r="E25" s="31" t="s">
        <v>301</v>
      </c>
      <c r="F25" s="31" t="s">
        <v>296</v>
      </c>
    </row>
    <row r="26" spans="1:6" ht="15" customHeight="1">
      <c r="A26" s="244"/>
      <c r="B26" s="247"/>
      <c r="C26" s="251"/>
      <c r="D26" s="25" t="s">
        <v>106</v>
      </c>
      <c r="E26" s="31" t="s">
        <v>302</v>
      </c>
      <c r="F26" s="31" t="s">
        <v>296</v>
      </c>
    </row>
    <row r="27" spans="1:6" ht="15" customHeight="1">
      <c r="A27" s="244"/>
      <c r="B27" s="247"/>
      <c r="C27" s="251"/>
      <c r="D27" s="25" t="s">
        <v>107</v>
      </c>
      <c r="E27" s="31" t="s">
        <v>303</v>
      </c>
      <c r="F27" s="31" t="s">
        <v>296</v>
      </c>
    </row>
    <row r="28" spans="1:6" ht="15" customHeight="1">
      <c r="A28" s="244"/>
      <c r="B28" s="247"/>
      <c r="C28" s="251"/>
      <c r="D28" s="25" t="s">
        <v>108</v>
      </c>
      <c r="E28" s="31" t="s">
        <v>304</v>
      </c>
      <c r="F28" s="31" t="s">
        <v>296</v>
      </c>
    </row>
    <row r="29" spans="1:6" ht="15" customHeight="1">
      <c r="A29" s="244"/>
      <c r="B29" s="247"/>
      <c r="C29" s="251"/>
      <c r="D29" s="25" t="s">
        <v>109</v>
      </c>
      <c r="E29" s="31" t="s">
        <v>305</v>
      </c>
      <c r="F29" s="31" t="s">
        <v>296</v>
      </c>
    </row>
    <row r="30" spans="1:6" ht="15" customHeight="1">
      <c r="A30" s="244"/>
      <c r="B30" s="247"/>
      <c r="C30" s="251"/>
      <c r="D30" s="25" t="s">
        <v>306</v>
      </c>
      <c r="E30" s="31" t="s">
        <v>307</v>
      </c>
      <c r="F30" s="31" t="s">
        <v>296</v>
      </c>
    </row>
    <row r="31" spans="1:6" ht="15" customHeight="1">
      <c r="A31" s="244"/>
      <c r="B31" s="247"/>
      <c r="C31" s="251"/>
      <c r="D31" s="25" t="s">
        <v>308</v>
      </c>
      <c r="E31" s="31" t="s">
        <v>309</v>
      </c>
      <c r="F31" s="31" t="s">
        <v>296</v>
      </c>
    </row>
    <row r="32" spans="1:6" ht="15" customHeight="1">
      <c r="A32" s="244"/>
      <c r="B32" s="247"/>
      <c r="C32" s="251"/>
      <c r="D32" s="25" t="s">
        <v>112</v>
      </c>
      <c r="E32" s="31" t="s">
        <v>310</v>
      </c>
      <c r="F32" s="31" t="s">
        <v>296</v>
      </c>
    </row>
    <row r="33" spans="1:6" ht="15" customHeight="1">
      <c r="A33" s="244"/>
      <c r="B33" s="247"/>
      <c r="C33" s="251"/>
      <c r="D33" s="25" t="s">
        <v>113</v>
      </c>
      <c r="E33" s="31" t="s">
        <v>311</v>
      </c>
      <c r="F33" s="31" t="s">
        <v>296</v>
      </c>
    </row>
    <row r="34" spans="1:6" ht="15" customHeight="1">
      <c r="A34" s="244"/>
      <c r="B34" s="247"/>
      <c r="C34" s="251"/>
      <c r="D34" s="25" t="s">
        <v>114</v>
      </c>
      <c r="E34" s="31" t="s">
        <v>312</v>
      </c>
      <c r="F34" s="31" t="s">
        <v>296</v>
      </c>
    </row>
    <row r="35" spans="1:6" ht="15" customHeight="1">
      <c r="A35" s="244"/>
      <c r="B35" s="247"/>
      <c r="C35" s="251"/>
      <c r="D35" s="25" t="s">
        <v>115</v>
      </c>
      <c r="E35" s="31" t="s">
        <v>313</v>
      </c>
      <c r="F35" s="31" t="s">
        <v>296</v>
      </c>
    </row>
    <row r="36" spans="1:6" ht="15" customHeight="1">
      <c r="A36" s="244"/>
      <c r="B36" s="247"/>
      <c r="C36" s="251"/>
      <c r="D36" s="25" t="s">
        <v>116</v>
      </c>
      <c r="E36" s="31" t="s">
        <v>314</v>
      </c>
      <c r="F36" s="31" t="s">
        <v>296</v>
      </c>
    </row>
    <row r="37" spans="1:6" ht="15" customHeight="1">
      <c r="A37" s="244"/>
      <c r="B37" s="247"/>
      <c r="C37" s="251"/>
      <c r="D37" s="25" t="s">
        <v>117</v>
      </c>
      <c r="E37" s="31" t="s">
        <v>315</v>
      </c>
      <c r="F37" s="31" t="s">
        <v>316</v>
      </c>
    </row>
    <row r="38" spans="1:6" ht="15" customHeight="1">
      <c r="A38" s="244"/>
      <c r="B38" s="247"/>
      <c r="C38" s="250"/>
      <c r="D38" s="25" t="s">
        <v>118</v>
      </c>
      <c r="E38" s="31" t="s">
        <v>317</v>
      </c>
      <c r="F38" s="31" t="s">
        <v>318</v>
      </c>
    </row>
    <row r="39" spans="1:6" ht="15" customHeight="1">
      <c r="A39" s="244"/>
      <c r="B39" s="247"/>
      <c r="C39" s="249" t="s">
        <v>319</v>
      </c>
      <c r="D39" s="25" t="s">
        <v>320</v>
      </c>
      <c r="E39" s="31" t="s">
        <v>321</v>
      </c>
      <c r="F39" s="31" t="s">
        <v>322</v>
      </c>
    </row>
    <row r="40" spans="1:6" ht="15" customHeight="1">
      <c r="A40" s="244"/>
      <c r="B40" s="247"/>
      <c r="C40" s="251"/>
      <c r="D40" s="25" t="s">
        <v>323</v>
      </c>
      <c r="E40" s="31" t="s">
        <v>324</v>
      </c>
      <c r="F40" s="31" t="s">
        <v>125</v>
      </c>
    </row>
    <row r="41" spans="1:6" ht="15" customHeight="1">
      <c r="A41" s="245"/>
      <c r="B41" s="248"/>
      <c r="C41" s="250"/>
      <c r="D41" s="25" t="s">
        <v>325</v>
      </c>
      <c r="E41" s="31" t="s">
        <v>326</v>
      </c>
      <c r="F41" s="31" t="s">
        <v>296</v>
      </c>
    </row>
    <row r="42" spans="1:6" ht="15" customHeight="1">
      <c r="A42" s="237" t="s">
        <v>14</v>
      </c>
      <c r="B42" s="232" t="s">
        <v>327</v>
      </c>
      <c r="C42" s="249" t="s">
        <v>328</v>
      </c>
      <c r="D42" s="25" t="s">
        <v>329</v>
      </c>
      <c r="E42" s="31" t="s">
        <v>330</v>
      </c>
      <c r="F42" s="31" t="s">
        <v>331</v>
      </c>
    </row>
    <row r="43" spans="1:6" ht="15" customHeight="1">
      <c r="A43" s="238"/>
      <c r="B43" s="233"/>
      <c r="C43" s="250"/>
      <c r="D43" s="25" t="s">
        <v>332</v>
      </c>
      <c r="E43" s="31" t="s">
        <v>333</v>
      </c>
      <c r="F43" s="31" t="s">
        <v>334</v>
      </c>
    </row>
    <row r="44" spans="1:6" ht="15" customHeight="1">
      <c r="A44" s="238"/>
      <c r="B44" s="233"/>
      <c r="C44" s="249" t="s">
        <v>335</v>
      </c>
      <c r="D44" s="25" t="s">
        <v>336</v>
      </c>
      <c r="E44" s="31" t="s">
        <v>337</v>
      </c>
      <c r="F44" s="31" t="s">
        <v>338</v>
      </c>
    </row>
    <row r="45" spans="1:6" ht="15" customHeight="1">
      <c r="A45" s="238"/>
      <c r="B45" s="233"/>
      <c r="C45" s="250"/>
      <c r="D45" s="25" t="s">
        <v>339</v>
      </c>
      <c r="E45" s="31" t="s">
        <v>340</v>
      </c>
      <c r="F45" s="31" t="s">
        <v>341</v>
      </c>
    </row>
    <row r="46" spans="1:6" ht="15" customHeight="1">
      <c r="A46" s="238"/>
      <c r="B46" s="234"/>
      <c r="C46" s="79" t="s">
        <v>342</v>
      </c>
      <c r="D46" s="25" t="s">
        <v>343</v>
      </c>
      <c r="E46" s="31" t="s">
        <v>344</v>
      </c>
      <c r="F46" s="31" t="s">
        <v>338</v>
      </c>
    </row>
    <row r="47" spans="1:6" ht="15" customHeight="1">
      <c r="A47" s="238"/>
      <c r="B47" s="232" t="s">
        <v>345</v>
      </c>
      <c r="C47" s="249" t="s">
        <v>36</v>
      </c>
      <c r="D47" s="25" t="s">
        <v>38</v>
      </c>
      <c r="E47" s="31" t="s">
        <v>346</v>
      </c>
      <c r="F47" s="31" t="s">
        <v>338</v>
      </c>
    </row>
    <row r="48" spans="1:6" ht="15" customHeight="1">
      <c r="A48" s="238"/>
      <c r="B48" s="233"/>
      <c r="C48" s="251"/>
      <c r="D48" s="25" t="s">
        <v>85</v>
      </c>
      <c r="E48" s="31" t="s">
        <v>347</v>
      </c>
      <c r="F48" s="31" t="s">
        <v>348</v>
      </c>
    </row>
    <row r="49" spans="1:6" ht="15" customHeight="1">
      <c r="A49" s="238"/>
      <c r="B49" s="233"/>
      <c r="C49" s="250"/>
      <c r="D49" s="25" t="s">
        <v>349</v>
      </c>
      <c r="E49" s="31" t="s">
        <v>350</v>
      </c>
      <c r="F49" s="31" t="s">
        <v>351</v>
      </c>
    </row>
    <row r="50" spans="1:6" ht="15" customHeight="1">
      <c r="A50" s="238"/>
      <c r="B50" s="233"/>
      <c r="C50" s="249" t="s">
        <v>352</v>
      </c>
      <c r="D50" s="25" t="s">
        <v>353</v>
      </c>
      <c r="E50" s="31" t="s">
        <v>354</v>
      </c>
      <c r="F50" s="31" t="s">
        <v>355</v>
      </c>
    </row>
    <row r="51" spans="1:6" ht="15" customHeight="1">
      <c r="A51" s="238"/>
      <c r="B51" s="233"/>
      <c r="C51" s="250"/>
      <c r="D51" s="25" t="s">
        <v>59</v>
      </c>
      <c r="E51" s="31" t="s">
        <v>356</v>
      </c>
      <c r="F51" s="31" t="s">
        <v>296</v>
      </c>
    </row>
    <row r="52" spans="1:6" ht="15" customHeight="1">
      <c r="A52" s="239"/>
      <c r="B52" s="234"/>
      <c r="C52" s="249" t="s">
        <v>328</v>
      </c>
      <c r="D52" s="25" t="s">
        <v>329</v>
      </c>
      <c r="E52" s="31" t="s">
        <v>330</v>
      </c>
      <c r="F52" s="31" t="s">
        <v>331</v>
      </c>
    </row>
    <row r="53" spans="1:6" ht="15" customHeight="1">
      <c r="A53" s="240" t="s">
        <v>16</v>
      </c>
      <c r="B53" s="232" t="s">
        <v>327</v>
      </c>
      <c r="C53" s="250"/>
      <c r="D53" s="25" t="s">
        <v>332</v>
      </c>
      <c r="E53" s="31" t="s">
        <v>333</v>
      </c>
      <c r="F53" s="31" t="s">
        <v>334</v>
      </c>
    </row>
    <row r="54" spans="1:6" ht="15" customHeight="1">
      <c r="A54" s="241"/>
      <c r="B54" s="233"/>
      <c r="C54" s="249" t="s">
        <v>335</v>
      </c>
      <c r="D54" s="25" t="s">
        <v>336</v>
      </c>
      <c r="E54" s="31" t="s">
        <v>337</v>
      </c>
      <c r="F54" s="31" t="s">
        <v>357</v>
      </c>
    </row>
    <row r="55" spans="1:6" ht="15" customHeight="1">
      <c r="A55" s="241"/>
      <c r="B55" s="233"/>
      <c r="C55" s="250"/>
      <c r="D55" s="25" t="s">
        <v>339</v>
      </c>
      <c r="E55" s="31" t="s">
        <v>340</v>
      </c>
      <c r="F55" s="31" t="s">
        <v>341</v>
      </c>
    </row>
    <row r="56" spans="1:6" ht="15" customHeight="1">
      <c r="A56" s="241"/>
      <c r="B56" s="234"/>
      <c r="C56" s="80" t="s">
        <v>342</v>
      </c>
      <c r="D56" s="25" t="s">
        <v>343</v>
      </c>
      <c r="E56" s="31" t="s">
        <v>344</v>
      </c>
      <c r="F56" s="31" t="s">
        <v>338</v>
      </c>
    </row>
    <row r="57" spans="1:6" ht="15" customHeight="1">
      <c r="A57" s="241"/>
      <c r="B57" s="232" t="s">
        <v>345</v>
      </c>
      <c r="C57" s="249" t="s">
        <v>36</v>
      </c>
      <c r="D57" s="25" t="s">
        <v>38</v>
      </c>
      <c r="E57" s="31" t="s">
        <v>346</v>
      </c>
      <c r="F57" s="31" t="s">
        <v>338</v>
      </c>
    </row>
    <row r="58" spans="1:6" ht="15" customHeight="1">
      <c r="A58" s="241"/>
      <c r="B58" s="233"/>
      <c r="C58" s="251"/>
      <c r="D58" s="25" t="s">
        <v>85</v>
      </c>
      <c r="E58" s="31" t="s">
        <v>347</v>
      </c>
      <c r="F58" s="31" t="s">
        <v>348</v>
      </c>
    </row>
    <row r="59" spans="1:6" ht="15" customHeight="1">
      <c r="A59" s="241"/>
      <c r="B59" s="233"/>
      <c r="C59" s="250"/>
      <c r="D59" s="25" t="s">
        <v>349</v>
      </c>
      <c r="E59" s="31" t="s">
        <v>350</v>
      </c>
      <c r="F59" s="31" t="s">
        <v>358</v>
      </c>
    </row>
    <row r="60" spans="1:6" ht="15" customHeight="1">
      <c r="A60" s="241"/>
      <c r="B60" s="233"/>
      <c r="C60" s="249" t="s">
        <v>359</v>
      </c>
      <c r="D60" s="25" t="s">
        <v>360</v>
      </c>
      <c r="E60" s="31" t="s">
        <v>361</v>
      </c>
      <c r="F60" s="31" t="s">
        <v>362</v>
      </c>
    </row>
    <row r="61" spans="1:6" ht="15" customHeight="1">
      <c r="A61" s="241"/>
      <c r="B61" s="233"/>
      <c r="C61" s="250"/>
      <c r="D61" s="25" t="s">
        <v>363</v>
      </c>
      <c r="E61" s="31" t="s">
        <v>364</v>
      </c>
      <c r="F61" s="31" t="s">
        <v>362</v>
      </c>
    </row>
    <row r="62" spans="1:6" ht="15" customHeight="1">
      <c r="A62" s="242"/>
      <c r="B62" s="234"/>
      <c r="C62" s="249" t="s">
        <v>365</v>
      </c>
      <c r="D62" s="25" t="s">
        <v>366</v>
      </c>
      <c r="E62" s="31" t="s">
        <v>367</v>
      </c>
      <c r="F62" s="31" t="s">
        <v>334</v>
      </c>
    </row>
    <row r="63" spans="1:6" ht="15" customHeight="1">
      <c r="A63" s="235" t="s">
        <v>12</v>
      </c>
      <c r="B63" s="232" t="s">
        <v>327</v>
      </c>
      <c r="C63" s="250"/>
      <c r="D63" s="25" t="s">
        <v>368</v>
      </c>
      <c r="E63" s="31" t="s">
        <v>369</v>
      </c>
      <c r="F63" s="31" t="s">
        <v>370</v>
      </c>
    </row>
    <row r="64" spans="1:6" ht="15" customHeight="1">
      <c r="A64" s="236"/>
      <c r="B64" s="233"/>
      <c r="C64" s="80" t="s">
        <v>328</v>
      </c>
      <c r="D64" s="25" t="s">
        <v>332</v>
      </c>
      <c r="E64" s="31" t="s">
        <v>371</v>
      </c>
      <c r="F64" s="31" t="s">
        <v>334</v>
      </c>
    </row>
    <row r="65" spans="1:6" ht="15" customHeight="1">
      <c r="A65" s="236"/>
      <c r="B65" s="233"/>
      <c r="C65" s="249" t="s">
        <v>372</v>
      </c>
      <c r="D65" s="25" t="s">
        <v>373</v>
      </c>
      <c r="E65" s="31" t="s">
        <v>374</v>
      </c>
      <c r="F65" s="31" t="s">
        <v>362</v>
      </c>
    </row>
    <row r="66" spans="1:6" ht="15" customHeight="1">
      <c r="A66" s="236"/>
      <c r="B66" s="233"/>
      <c r="C66" s="250"/>
      <c r="D66" s="25" t="s">
        <v>375</v>
      </c>
      <c r="E66" s="31" t="s">
        <v>376</v>
      </c>
      <c r="F66" s="31" t="s">
        <v>334</v>
      </c>
    </row>
    <row r="67" spans="1:6" ht="15" customHeight="1">
      <c r="A67" s="236"/>
      <c r="B67" s="233"/>
      <c r="C67" s="249" t="s">
        <v>335</v>
      </c>
      <c r="D67" s="25" t="s">
        <v>336</v>
      </c>
      <c r="E67" s="31" t="s">
        <v>337</v>
      </c>
      <c r="F67" s="31" t="s">
        <v>357</v>
      </c>
    </row>
    <row r="68" spans="1:6" ht="15" customHeight="1">
      <c r="A68" s="236"/>
      <c r="B68" s="233"/>
      <c r="C68" s="250"/>
      <c r="D68" s="25" t="s">
        <v>339</v>
      </c>
      <c r="E68" s="31" t="s">
        <v>340</v>
      </c>
      <c r="F68" s="31" t="s">
        <v>341</v>
      </c>
    </row>
    <row r="69" spans="1:6" ht="15" customHeight="1">
      <c r="A69" s="236"/>
      <c r="B69" s="234"/>
      <c r="C69" s="249" t="s">
        <v>342</v>
      </c>
      <c r="D69" s="25" t="s">
        <v>343</v>
      </c>
      <c r="E69" s="31" t="s">
        <v>344</v>
      </c>
      <c r="F69" s="31" t="s">
        <v>377</v>
      </c>
    </row>
    <row r="70" spans="1:6" ht="15" customHeight="1">
      <c r="A70" s="236"/>
      <c r="B70" s="232" t="s">
        <v>345</v>
      </c>
      <c r="C70" s="250"/>
      <c r="D70" s="25" t="s">
        <v>378</v>
      </c>
      <c r="E70" s="31" t="s">
        <v>379</v>
      </c>
      <c r="F70" s="31" t="s">
        <v>291</v>
      </c>
    </row>
    <row r="71" spans="1:6" ht="15" customHeight="1">
      <c r="A71" s="236"/>
      <c r="B71" s="233"/>
      <c r="C71" s="249" t="s">
        <v>380</v>
      </c>
      <c r="D71" s="25" t="s">
        <v>38</v>
      </c>
      <c r="E71" s="31" t="s">
        <v>346</v>
      </c>
      <c r="F71" s="31" t="s">
        <v>357</v>
      </c>
    </row>
    <row r="72" spans="1:6" ht="15" customHeight="1">
      <c r="A72" s="236"/>
      <c r="B72" s="233"/>
      <c r="C72" s="251"/>
      <c r="D72" s="25" t="s">
        <v>85</v>
      </c>
      <c r="E72" s="31" t="s">
        <v>347</v>
      </c>
      <c r="F72" s="31" t="s">
        <v>348</v>
      </c>
    </row>
    <row r="73" spans="1:6" ht="15" customHeight="1">
      <c r="A73" s="236"/>
      <c r="B73" s="233"/>
      <c r="C73" s="250"/>
      <c r="D73" s="25" t="s">
        <v>349</v>
      </c>
      <c r="E73" s="31" t="s">
        <v>350</v>
      </c>
      <c r="F73" s="31" t="s">
        <v>358</v>
      </c>
    </row>
    <row r="74" spans="1:6" ht="15" customHeight="1">
      <c r="A74" s="236"/>
      <c r="B74" s="233"/>
      <c r="C74" s="249" t="s">
        <v>381</v>
      </c>
      <c r="D74" s="25" t="s">
        <v>382</v>
      </c>
      <c r="E74" s="31" t="s">
        <v>383</v>
      </c>
      <c r="F74" s="31" t="s">
        <v>384</v>
      </c>
    </row>
    <row r="75" spans="1:6" ht="15" customHeight="1">
      <c r="A75" s="236"/>
      <c r="B75" s="233"/>
      <c r="C75" s="251"/>
      <c r="D75" s="25" t="s">
        <v>385</v>
      </c>
      <c r="E75" s="31" t="s">
        <v>386</v>
      </c>
      <c r="F75" s="31" t="s">
        <v>384</v>
      </c>
    </row>
    <row r="76" spans="1:6" ht="15" customHeight="1">
      <c r="A76" s="236"/>
      <c r="B76" s="233"/>
      <c r="C76" s="251"/>
      <c r="D76" s="25" t="s">
        <v>387</v>
      </c>
      <c r="E76" s="31" t="s">
        <v>388</v>
      </c>
      <c r="F76" s="31" t="s">
        <v>384</v>
      </c>
    </row>
    <row r="77" spans="1:6" ht="15" customHeight="1">
      <c r="A77" s="236"/>
      <c r="B77" s="233"/>
      <c r="C77" s="251"/>
      <c r="D77" s="25" t="s">
        <v>389</v>
      </c>
      <c r="E77" s="31" t="s">
        <v>390</v>
      </c>
      <c r="F77" s="31" t="s">
        <v>334</v>
      </c>
    </row>
    <row r="78" spans="1:6" ht="15" customHeight="1">
      <c r="A78" s="236"/>
      <c r="B78" s="233"/>
      <c r="C78" s="251"/>
      <c r="D78" s="25" t="s">
        <v>368</v>
      </c>
      <c r="E78" s="31" t="s">
        <v>391</v>
      </c>
      <c r="F78" s="31" t="s">
        <v>370</v>
      </c>
    </row>
    <row r="79" spans="1:6" ht="15" customHeight="1">
      <c r="A79" s="236"/>
      <c r="B79" s="233"/>
      <c r="C79" s="251"/>
      <c r="D79" s="25" t="s">
        <v>392</v>
      </c>
      <c r="E79" s="31" t="s">
        <v>393</v>
      </c>
      <c r="F79" s="31" t="s">
        <v>394</v>
      </c>
    </row>
    <row r="80" spans="1:6" ht="15" customHeight="1">
      <c r="A80" s="236"/>
      <c r="B80" s="233"/>
      <c r="C80" s="251"/>
      <c r="D80" s="25" t="s">
        <v>395</v>
      </c>
      <c r="E80" s="31" t="s">
        <v>396</v>
      </c>
      <c r="F80" s="31" t="s">
        <v>397</v>
      </c>
    </row>
    <row r="81" spans="1:6" ht="15" customHeight="1">
      <c r="A81" s="236"/>
      <c r="B81" s="233"/>
      <c r="C81" s="251"/>
      <c r="D81" s="25" t="s">
        <v>398</v>
      </c>
      <c r="E81" s="31" t="s">
        <v>399</v>
      </c>
      <c r="F81" s="31" t="s">
        <v>400</v>
      </c>
    </row>
    <row r="82" spans="1:6" ht="15" customHeight="1">
      <c r="A82" s="236"/>
      <c r="B82" s="233"/>
      <c r="C82" s="251"/>
      <c r="D82" s="25" t="s">
        <v>401</v>
      </c>
      <c r="E82" s="31" t="s">
        <v>402</v>
      </c>
      <c r="F82" s="31" t="s">
        <v>403</v>
      </c>
    </row>
    <row r="83" spans="1:6" ht="15" customHeight="1">
      <c r="A83" s="236"/>
      <c r="B83" s="233"/>
      <c r="C83" s="250"/>
      <c r="D83" s="25" t="s">
        <v>404</v>
      </c>
      <c r="E83" s="31" t="s">
        <v>405</v>
      </c>
      <c r="F83" s="31" t="s">
        <v>406</v>
      </c>
    </row>
    <row r="84" spans="1:6" ht="15" customHeight="1">
      <c r="A84" s="236"/>
      <c r="B84" s="233"/>
      <c r="C84" s="249" t="s">
        <v>407</v>
      </c>
      <c r="D84" s="25" t="s">
        <v>382</v>
      </c>
      <c r="E84" s="31" t="s">
        <v>408</v>
      </c>
      <c r="F84" s="31" t="s">
        <v>384</v>
      </c>
    </row>
    <row r="85" spans="1:6" ht="15" customHeight="1">
      <c r="A85" s="236"/>
      <c r="B85" s="233"/>
      <c r="C85" s="251"/>
      <c r="D85" s="25" t="s">
        <v>409</v>
      </c>
      <c r="E85" s="31" t="s">
        <v>410</v>
      </c>
      <c r="F85" s="31" t="s">
        <v>411</v>
      </c>
    </row>
    <row r="86" spans="1:6" ht="15" customHeight="1">
      <c r="A86" s="236"/>
      <c r="B86" s="233"/>
      <c r="C86" s="251"/>
      <c r="D86" s="25" t="s">
        <v>395</v>
      </c>
      <c r="E86" s="31" t="s">
        <v>412</v>
      </c>
      <c r="F86" s="31" t="s">
        <v>397</v>
      </c>
    </row>
    <row r="87" spans="1:6" ht="15" customHeight="1">
      <c r="A87" s="236"/>
      <c r="B87" s="233"/>
      <c r="C87" s="251"/>
      <c r="D87" s="25" t="s">
        <v>413</v>
      </c>
      <c r="E87" s="31" t="s">
        <v>414</v>
      </c>
      <c r="F87" s="31" t="s">
        <v>406</v>
      </c>
    </row>
    <row r="88" spans="1:6" ht="15" customHeight="1">
      <c r="A88" s="236"/>
      <c r="B88" s="233"/>
      <c r="C88" s="251"/>
      <c r="D88" s="25" t="s">
        <v>415</v>
      </c>
      <c r="E88" s="31" t="s">
        <v>416</v>
      </c>
      <c r="F88" s="31" t="s">
        <v>406</v>
      </c>
    </row>
    <row r="89" spans="1:6" ht="15" customHeight="1">
      <c r="A89" s="236"/>
      <c r="B89" s="233"/>
      <c r="C89" s="250"/>
      <c r="D89" s="25" t="s">
        <v>417</v>
      </c>
      <c r="E89" s="31" t="s">
        <v>418</v>
      </c>
      <c r="F89" s="31" t="s">
        <v>384</v>
      </c>
    </row>
    <row r="90" spans="1:6" ht="15" customHeight="1">
      <c r="A90" s="236"/>
      <c r="B90" s="233"/>
      <c r="C90" s="249" t="s">
        <v>62</v>
      </c>
      <c r="D90" s="25" t="s">
        <v>382</v>
      </c>
      <c r="E90" s="31" t="s">
        <v>419</v>
      </c>
      <c r="F90" s="31" t="s">
        <v>420</v>
      </c>
    </row>
    <row r="91" spans="1:6" ht="15" customHeight="1">
      <c r="A91" s="236"/>
      <c r="B91" s="233"/>
      <c r="C91" s="251"/>
      <c r="D91" s="25" t="s">
        <v>385</v>
      </c>
      <c r="E91" s="31" t="s">
        <v>421</v>
      </c>
      <c r="F91" s="31" t="s">
        <v>420</v>
      </c>
    </row>
    <row r="92" spans="1:6" ht="15" customHeight="1">
      <c r="A92" s="236"/>
      <c r="B92" s="233"/>
      <c r="C92" s="251"/>
      <c r="D92" s="25" t="s">
        <v>422</v>
      </c>
      <c r="E92" s="31" t="s">
        <v>423</v>
      </c>
      <c r="F92" s="31" t="s">
        <v>296</v>
      </c>
    </row>
    <row r="93" spans="1:6" ht="15" customHeight="1">
      <c r="A93" s="236"/>
      <c r="B93" s="233"/>
      <c r="C93" s="251"/>
      <c r="D93" s="25" t="s">
        <v>212</v>
      </c>
      <c r="E93" s="31" t="s">
        <v>424</v>
      </c>
      <c r="F93" s="31" t="s">
        <v>296</v>
      </c>
    </row>
    <row r="94" spans="1:6" ht="15" customHeight="1">
      <c r="A94" s="236"/>
      <c r="B94" s="233"/>
      <c r="C94" s="251"/>
      <c r="D94" s="25" t="s">
        <v>425</v>
      </c>
      <c r="E94" s="31" t="s">
        <v>426</v>
      </c>
      <c r="F94" s="31" t="s">
        <v>403</v>
      </c>
    </row>
    <row r="95" spans="1:6" ht="15" customHeight="1">
      <c r="A95" s="236"/>
      <c r="B95" s="233"/>
      <c r="C95" s="250"/>
      <c r="D95" s="25" t="s">
        <v>427</v>
      </c>
      <c r="E95" s="31" t="s">
        <v>428</v>
      </c>
      <c r="F95" s="31" t="s">
        <v>403</v>
      </c>
    </row>
    <row r="96" spans="1:6" ht="15" customHeight="1">
      <c r="A96" s="3"/>
      <c r="B96" s="3"/>
      <c r="C96" s="3"/>
      <c r="D96" s="9"/>
      <c r="E96" s="9"/>
    </row>
    <row r="97" spans="1:5" ht="15" customHeight="1">
      <c r="A97" s="3"/>
      <c r="B97" s="3"/>
      <c r="C97" s="3"/>
      <c r="D97" s="9"/>
      <c r="E97" s="9"/>
    </row>
    <row r="98" spans="1:5" ht="15" customHeight="1">
      <c r="A98" s="3"/>
      <c r="B98" s="3"/>
      <c r="C98" s="3"/>
      <c r="D98" s="9"/>
      <c r="E98" s="9"/>
    </row>
    <row r="99" spans="1:5" s="9" customFormat="1">
      <c r="A99" s="3"/>
      <c r="B99" s="3"/>
      <c r="C99" s="3"/>
    </row>
    <row r="100" spans="1:5" s="9" customFormat="1">
      <c r="A100" s="3"/>
      <c r="B100" s="3"/>
      <c r="C100" s="3"/>
    </row>
    <row r="101" spans="1:5" s="9" customFormat="1"/>
    <row r="102" spans="1:5" s="9" customFormat="1"/>
    <row r="103" spans="1:5" s="9" customFormat="1"/>
    <row r="104" spans="1:5" s="9" customFormat="1"/>
    <row r="105" spans="1:5" s="9" customFormat="1"/>
    <row r="106" spans="1:5" s="9" customFormat="1"/>
    <row r="107" spans="1:5" s="9" customFormat="1"/>
    <row r="108" spans="1:5" s="9" customFormat="1"/>
    <row r="109" spans="1:5" s="9" customFormat="1"/>
    <row r="110" spans="1:5" s="9" customFormat="1"/>
    <row r="111" spans="1:5" s="9" customFormat="1"/>
    <row r="112" spans="1:5" s="9" customFormat="1"/>
    <row r="113" s="9" customFormat="1"/>
    <row r="114" s="9" customFormat="1"/>
    <row r="115" s="9" customFormat="1"/>
    <row r="116" s="9" customFormat="1"/>
    <row r="117" s="9" customFormat="1"/>
    <row r="118" s="9" customFormat="1"/>
    <row r="119" s="9" customFormat="1"/>
    <row r="120" s="9" customFormat="1"/>
    <row r="121" s="9" customFormat="1"/>
    <row r="122" s="9" customFormat="1"/>
    <row r="123" s="9" customFormat="1"/>
    <row r="124" s="9" customFormat="1"/>
    <row r="125" s="9" customFormat="1"/>
    <row r="126" s="9" customFormat="1"/>
    <row r="127" s="9" customFormat="1"/>
    <row r="128" s="9" customFormat="1"/>
    <row r="129" s="9" customFormat="1"/>
    <row r="130" s="9" customFormat="1"/>
    <row r="131" s="9" customFormat="1"/>
    <row r="132" s="9" customFormat="1"/>
    <row r="133" s="9" customFormat="1"/>
    <row r="134" s="9" customFormat="1"/>
    <row r="135" s="9" customFormat="1"/>
    <row r="136" s="9" customFormat="1"/>
    <row r="137" s="9" customFormat="1"/>
    <row r="138" s="9" customFormat="1"/>
    <row r="139" s="9" customFormat="1"/>
    <row r="140" s="9" customFormat="1"/>
    <row r="141" s="9" customFormat="1"/>
    <row r="142" s="9" customFormat="1"/>
    <row r="143" s="9" customFormat="1"/>
    <row r="144" s="9" customFormat="1"/>
    <row r="145" spans="3:5" s="9" customFormat="1"/>
    <row r="146" spans="3:5" s="9" customFormat="1"/>
    <row r="147" spans="3:5" s="9" customFormat="1"/>
    <row r="148" spans="3:5" s="9" customFormat="1"/>
    <row r="149" spans="3:5" s="9" customFormat="1">
      <c r="C149" s="10"/>
      <c r="D149" s="10"/>
      <c r="E149" s="10"/>
    </row>
    <row r="150" spans="3:5" s="9" customFormat="1">
      <c r="C150" s="10"/>
      <c r="D150" s="10"/>
      <c r="E150" s="10"/>
    </row>
    <row r="151" spans="3:5" s="9" customFormat="1">
      <c r="C151" s="10"/>
      <c r="D151" s="10"/>
      <c r="E151" s="10"/>
    </row>
  </sheetData>
  <sheetProtection algorithmName="SHA-512" hashValue="z/kPrSFVPT7YevgjUEiEuFrqkwrUUkLyfgAUOE6u01MVYzWBDYd+zy6VDs6SN8DdRUCm5u/CrMafL3MNywxZ3g==" saltValue="ebAr7z8fKeIWS76B1z7Q4A==" spinCount="100000" sheet="1" objects="1" scenarios="1"/>
  <mergeCells count="32">
    <mergeCell ref="C71:C73"/>
    <mergeCell ref="C74:C83"/>
    <mergeCell ref="C84:C89"/>
    <mergeCell ref="C90:C95"/>
    <mergeCell ref="C9:C12"/>
    <mergeCell ref="C13:C16"/>
    <mergeCell ref="C17:C19"/>
    <mergeCell ref="C20:C38"/>
    <mergeCell ref="C39:C41"/>
    <mergeCell ref="C42:C43"/>
    <mergeCell ref="C57:C59"/>
    <mergeCell ref="C44:C45"/>
    <mergeCell ref="C47:C49"/>
    <mergeCell ref="C50:C51"/>
    <mergeCell ref="C52:C53"/>
    <mergeCell ref="C54:C55"/>
    <mergeCell ref="C60:C61"/>
    <mergeCell ref="C62:C63"/>
    <mergeCell ref="C65:C66"/>
    <mergeCell ref="C67:C68"/>
    <mergeCell ref="C69:C70"/>
    <mergeCell ref="A42:A52"/>
    <mergeCell ref="A53:A62"/>
    <mergeCell ref="B42:B46"/>
    <mergeCell ref="B47:B52"/>
    <mergeCell ref="A9:A41"/>
    <mergeCell ref="B9:B41"/>
    <mergeCell ref="B63:B69"/>
    <mergeCell ref="B53:B56"/>
    <mergeCell ref="B57:B62"/>
    <mergeCell ref="B70:B95"/>
    <mergeCell ref="A63:A9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FDB94-14F9-465B-8806-0349034E61F1}">
  <sheetPr codeName="Sheet9">
    <tabColor theme="5"/>
  </sheetPr>
  <dimension ref="A1:P129"/>
  <sheetViews>
    <sheetView topLeftCell="A16" workbookViewId="0">
      <selection activeCell="L21" sqref="L21:N49"/>
    </sheetView>
  </sheetViews>
  <sheetFormatPr defaultColWidth="8.85546875" defaultRowHeight="15"/>
  <cols>
    <col min="1" max="1" width="33.42578125" style="10" customWidth="1"/>
    <col min="2" max="2" width="26.140625" style="10" customWidth="1"/>
    <col min="3" max="3" width="14.42578125" style="10" bestFit="1" customWidth="1"/>
    <col min="4" max="4" width="30" style="10" customWidth="1"/>
    <col min="5" max="5" width="13.5703125" style="10" customWidth="1"/>
    <col min="6" max="6" width="29.85546875" style="10" customWidth="1"/>
    <col min="7" max="7" width="12.85546875" style="10" customWidth="1"/>
    <col min="8" max="17" width="8.85546875" style="10"/>
    <col min="18" max="18" width="12.5703125" style="10" customWidth="1"/>
    <col min="19" max="16384" width="8.85546875" style="10"/>
  </cols>
  <sheetData>
    <row r="1" spans="1:9" s="11" customFormat="1" ht="34.5">
      <c r="A1" s="4" t="s">
        <v>0</v>
      </c>
      <c r="B1" s="5"/>
      <c r="E1" s="5"/>
      <c r="I1" s="5"/>
    </row>
    <row r="2" spans="1:9" s="11" customFormat="1" ht="20.100000000000001">
      <c r="A2" s="6" t="s">
        <v>35</v>
      </c>
    </row>
    <row r="3" spans="1:9" s="11" customFormat="1"/>
    <row r="4" spans="1:9" s="9" customFormat="1"/>
    <row r="5" spans="1:9" s="9" customFormat="1"/>
    <row r="6" spans="1:9" s="9" customFormat="1"/>
    <row r="7" spans="1:9" s="9" customFormat="1"/>
    <row r="8" spans="1:9" s="9" customFormat="1"/>
    <row r="9" spans="1:9" s="9" customFormat="1"/>
    <row r="10" spans="1:9" s="9" customFormat="1"/>
    <row r="11" spans="1:9" s="9" customFormat="1"/>
    <row r="12" spans="1:9" s="9" customFormat="1"/>
    <row r="13" spans="1:9" s="9" customFormat="1" ht="23.1" thickBot="1">
      <c r="A13" s="71" t="s">
        <v>22</v>
      </c>
    </row>
    <row r="14" spans="1:9" s="9" customFormat="1" ht="15.6" thickTop="1">
      <c r="A14" s="61" t="s">
        <v>23</v>
      </c>
    </row>
    <row r="15" spans="1:9" s="9" customFormat="1">
      <c r="A15" s="161" t="s">
        <v>24</v>
      </c>
    </row>
    <row r="16" spans="1:9" s="9" customFormat="1">
      <c r="A16" s="162" t="s">
        <v>25</v>
      </c>
    </row>
    <row r="17" spans="1:5" s="9" customFormat="1">
      <c r="A17" s="68" t="s">
        <v>26</v>
      </c>
    </row>
    <row r="18" spans="1:5" s="9" customFormat="1">
      <c r="A18" s="160"/>
    </row>
    <row r="19" spans="1:5" s="9" customFormat="1" ht="23.1" thickBot="1">
      <c r="A19" s="71" t="s">
        <v>429</v>
      </c>
    </row>
    <row r="20" spans="1:5" s="9" customFormat="1" ht="15.6" thickTop="1"/>
    <row r="21" spans="1:5" s="9" customFormat="1" ht="18.95">
      <c r="A21" s="60" t="s">
        <v>430</v>
      </c>
      <c r="D21" s="97" t="s">
        <v>431</v>
      </c>
    </row>
    <row r="22" spans="1:5" s="9" customFormat="1">
      <c r="A22" s="31" t="s">
        <v>432</v>
      </c>
      <c r="B22" s="214">
        <v>1000</v>
      </c>
      <c r="D22" s="25" t="s">
        <v>433</v>
      </c>
      <c r="E22" s="214">
        <v>1</v>
      </c>
    </row>
    <row r="23" spans="1:5" s="9" customFormat="1">
      <c r="A23" s="31" t="s">
        <v>434</v>
      </c>
      <c r="B23" s="215">
        <v>45353.979166666664</v>
      </c>
      <c r="D23" s="25" t="s">
        <v>435</v>
      </c>
      <c r="E23" s="214">
        <v>3</v>
      </c>
    </row>
    <row r="24" spans="1:5" s="9" customFormat="1">
      <c r="A24" s="31" t="s">
        <v>436</v>
      </c>
      <c r="B24" s="214">
        <v>1010</v>
      </c>
      <c r="D24" s="25" t="s">
        <v>437</v>
      </c>
      <c r="E24" s="216">
        <v>0.9</v>
      </c>
    </row>
    <row r="25" spans="1:5" s="9" customFormat="1">
      <c r="A25" s="31" t="s">
        <v>438</v>
      </c>
      <c r="B25" s="215">
        <v>45354.104166666664</v>
      </c>
      <c r="D25" s="31" t="s">
        <v>439</v>
      </c>
      <c r="E25" s="165">
        <f>E23*Reference!C40/1000</f>
        <v>299.92830000000004</v>
      </c>
    </row>
    <row r="26" spans="1:5" s="9" customFormat="1">
      <c r="A26" s="31" t="s">
        <v>440</v>
      </c>
      <c r="B26" s="214">
        <v>1.1000000000000001</v>
      </c>
      <c r="D26" s="31" t="s">
        <v>441</v>
      </c>
      <c r="E26" s="165">
        <f>(E25*E24)/E22</f>
        <v>269.93547000000007</v>
      </c>
    </row>
    <row r="27" spans="1:5" s="9" customFormat="1">
      <c r="A27" s="31" t="s">
        <v>442</v>
      </c>
      <c r="B27" s="146">
        <f>(B25-B23)/(1/24)</f>
        <v>3</v>
      </c>
      <c r="D27" s="31" t="s">
        <v>443</v>
      </c>
      <c r="E27" s="165">
        <f>Water_Heater_size_kBTUh</f>
        <v>500</v>
      </c>
    </row>
    <row r="28" spans="1:5" s="9" customFormat="1">
      <c r="A28" s="31" t="s">
        <v>444</v>
      </c>
      <c r="B28" s="161">
        <f>B24-B22</f>
        <v>10</v>
      </c>
      <c r="D28" s="31" t="s">
        <v>445</v>
      </c>
      <c r="E28" s="164">
        <f>E26/E27</f>
        <v>0.53987094000000013</v>
      </c>
    </row>
    <row r="29" spans="1:5" s="9" customFormat="1">
      <c r="A29" s="31" t="s">
        <v>446</v>
      </c>
      <c r="B29" s="165">
        <f>B28*Reference!C40/1000/B27</f>
        <v>333.25366666666667</v>
      </c>
    </row>
    <row r="30" spans="1:5" s="9" customFormat="1">
      <c r="A30" s="31" t="s">
        <v>447</v>
      </c>
      <c r="B30" s="161">
        <f>Water_Heater_size_kBTUh</f>
        <v>500</v>
      </c>
    </row>
    <row r="31" spans="1:5" s="9" customFormat="1">
      <c r="A31" s="31" t="s">
        <v>448</v>
      </c>
      <c r="B31" s="166">
        <f>B29/B30</f>
        <v>0.66650733333333334</v>
      </c>
    </row>
    <row r="32" spans="1:5" s="9" customFormat="1"/>
    <row r="33" spans="1:16" s="9" customFormat="1"/>
    <row r="34" spans="1:16" s="9" customFormat="1">
      <c r="A34" s="252"/>
      <c r="B34" s="252"/>
    </row>
    <row r="35" spans="1:16" s="9" customFormat="1" ht="23.1" thickBot="1">
      <c r="A35" s="69" t="s">
        <v>327</v>
      </c>
    </row>
    <row r="36" spans="1:16" s="9" customFormat="1" ht="15.6" thickTop="1"/>
    <row r="37" spans="1:16" s="9" customFormat="1" ht="18.95">
      <c r="A37" s="60" t="s">
        <v>449</v>
      </c>
      <c r="D37" s="13"/>
      <c r="G37" s="16"/>
    </row>
    <row r="38" spans="1:16" s="9" customFormat="1">
      <c r="A38" s="25" t="s">
        <v>450</v>
      </c>
      <c r="B38" s="214">
        <f>'Comparison Calcs'!D43</f>
        <v>500</v>
      </c>
      <c r="D38" s="14"/>
    </row>
    <row r="39" spans="1:16" s="9" customFormat="1">
      <c r="A39" s="25" t="s">
        <v>451</v>
      </c>
      <c r="B39" s="217">
        <f>'Comparison Calcs'!D44</f>
        <v>0.8</v>
      </c>
      <c r="D39" s="14"/>
    </row>
    <row r="40" spans="1:16" s="9" customFormat="1">
      <c r="A40" s="25" t="s">
        <v>452</v>
      </c>
      <c r="B40" s="214">
        <f>'Comparison Calcs'!D45</f>
        <v>2.77</v>
      </c>
      <c r="D40" s="14"/>
    </row>
    <row r="41" spans="1:16" s="9" customFormat="1"/>
    <row r="42" spans="1:16" s="9" customFormat="1" ht="18.95">
      <c r="A42" s="60" t="s">
        <v>328</v>
      </c>
    </row>
    <row r="43" spans="1:16" s="9" customFormat="1">
      <c r="A43" s="25" t="s">
        <v>43</v>
      </c>
      <c r="B43" s="214">
        <f>'Comparison Calcs'!D41</f>
        <v>1000</v>
      </c>
    </row>
    <row r="44" spans="1:16" s="9" customFormat="1">
      <c r="A44" s="25" t="s">
        <v>47</v>
      </c>
      <c r="B44" s="214">
        <f>'Comparison Calcs'!D42</f>
        <v>1250</v>
      </c>
    </row>
    <row r="45" spans="1:16" s="9" customFormat="1">
      <c r="A45" s="31" t="s">
        <v>453</v>
      </c>
      <c r="B45" s="214" t="s">
        <v>126</v>
      </c>
      <c r="P45" s="15"/>
    </row>
    <row r="46" spans="1:16" s="9" customFormat="1">
      <c r="A46" s="31" t="s">
        <v>454</v>
      </c>
      <c r="B46" s="145" cm="1">
        <f t="array" ref="B46">_xlfn.IFS(B45=Reference!B63,Reference!C63,B45=Reference!B64,E28,B45=Reference!B65,B31)</f>
        <v>0.5</v>
      </c>
      <c r="P46" s="15"/>
    </row>
    <row r="47" spans="1:16" s="9" customFormat="1">
      <c r="P47" s="15"/>
    </row>
    <row r="48" spans="1:16" s="9" customFormat="1"/>
    <row r="49" spans="1:7" s="9" customFormat="1"/>
    <row r="50" spans="1:7" s="9" customFormat="1" ht="23.1" thickBot="1">
      <c r="A50" s="69" t="s">
        <v>345</v>
      </c>
      <c r="B50" s="69"/>
      <c r="C50" s="69"/>
      <c r="D50" s="69"/>
      <c r="E50" s="69"/>
      <c r="F50" s="69"/>
      <c r="G50" s="69"/>
    </row>
    <row r="51" spans="1:7" s="9" customFormat="1" ht="15.6" thickTop="1"/>
    <row r="52" spans="1:7" s="9" customFormat="1"/>
    <row r="53" spans="1:7" s="9" customFormat="1" ht="18" thickBot="1">
      <c r="A53" s="72" t="s">
        <v>455</v>
      </c>
      <c r="B53" s="72"/>
      <c r="C53" s="72"/>
      <c r="D53" s="72"/>
      <c r="E53" s="72"/>
    </row>
    <row r="54" spans="1:7" s="9" customFormat="1" ht="15.6" thickTop="1">
      <c r="A54" s="19"/>
      <c r="B54" s="63" t="s">
        <v>38</v>
      </c>
      <c r="C54" s="17"/>
      <c r="D54" s="40"/>
      <c r="E54" s="63" t="s">
        <v>39</v>
      </c>
    </row>
    <row r="55" spans="1:7" s="9" customFormat="1">
      <c r="A55" s="26" t="s">
        <v>44</v>
      </c>
      <c r="B55" s="55">
        <f>Water_Heater_output__kJ__per_hour/kJ_per_therm*B46</f>
        <v>2.5006058020477817</v>
      </c>
      <c r="D55" s="36" t="s">
        <v>45</v>
      </c>
      <c r="E55" s="149">
        <f>Natural_Gas__therm*NG_Cost_per_therm</f>
        <v>3.5508602389078501</v>
      </c>
    </row>
    <row r="56" spans="1:7" s="9" customFormat="1">
      <c r="A56" s="26" t="s">
        <v>48</v>
      </c>
      <c r="B56" s="57">
        <f>Heat_pump_input_required_kW*kW_to_kWh*B46</f>
        <v>21.160361010830329</v>
      </c>
      <c r="D56" s="36" t="s">
        <v>49</v>
      </c>
      <c r="E56" s="149">
        <f>Electricity_Heat_Pump__kWh*Electricity_Cost_per_kWh</f>
        <v>5.0784866425992785</v>
      </c>
    </row>
    <row r="57" spans="1:7" s="9" customFormat="1">
      <c r="A57" s="13"/>
      <c r="B57" s="18"/>
      <c r="D57" s="40"/>
      <c r="E57" s="18"/>
    </row>
    <row r="58" spans="1:7" s="9" customFormat="1">
      <c r="A58" s="13"/>
      <c r="B58" s="63" t="s">
        <v>54</v>
      </c>
    </row>
    <row r="59" spans="1:7" s="9" customFormat="1">
      <c r="A59" s="26" t="s">
        <v>45</v>
      </c>
      <c r="B59" s="148">
        <f>Natural_Gas__therm*kg_CO2_per_therm</f>
        <v>13.26821438566553</v>
      </c>
    </row>
    <row r="60" spans="1:7" s="9" customFormat="1">
      <c r="A60" s="26" t="s">
        <v>49</v>
      </c>
      <c r="B60" s="148">
        <f>Electricity_Heat_Pump__kWh*kg_CO2_per_kWh</f>
        <v>5.1033500667870042</v>
      </c>
    </row>
    <row r="61" spans="1:7" s="9" customFormat="1"/>
    <row r="62" spans="1:7" s="9" customFormat="1"/>
    <row r="63" spans="1:7" s="9" customFormat="1"/>
    <row r="64" spans="1:7" s="9" customFormat="1" ht="23.45" thickBot="1">
      <c r="A64" s="71" t="s">
        <v>456</v>
      </c>
      <c r="B64" s="89"/>
      <c r="C64" s="89"/>
      <c r="D64" s="89"/>
      <c r="E64" s="89"/>
      <c r="F64" s="89"/>
      <c r="G64" s="89"/>
    </row>
    <row r="65" spans="1:5" s="9" customFormat="1" ht="18.600000000000001" thickTop="1" thickBot="1">
      <c r="A65" s="72" t="s">
        <v>457</v>
      </c>
      <c r="B65" s="72"/>
      <c r="C65" s="72"/>
      <c r="D65" s="72"/>
      <c r="E65" s="72"/>
    </row>
    <row r="66" spans="1:5" s="9" customFormat="1" ht="15.6" thickTop="1">
      <c r="A66" s="19"/>
      <c r="B66" s="63" t="s">
        <v>38</v>
      </c>
      <c r="C66" s="17"/>
      <c r="D66" s="40"/>
      <c r="E66" s="63" t="s">
        <v>39</v>
      </c>
    </row>
    <row r="67" spans="1:5" s="9" customFormat="1">
      <c r="A67" s="26" t="s">
        <v>44</v>
      </c>
      <c r="B67" s="55">
        <f>B78/B44</f>
        <v>2.0004846416382254</v>
      </c>
      <c r="D67" s="36" t="s">
        <v>45</v>
      </c>
      <c r="E67" s="149">
        <f>E78/B44</f>
        <v>2.8406881911262802</v>
      </c>
    </row>
    <row r="68" spans="1:5" s="9" customFormat="1">
      <c r="A68" s="26" t="s">
        <v>48</v>
      </c>
      <c r="B68" s="57">
        <f>B79/B44</f>
        <v>16.928288808664263</v>
      </c>
      <c r="D68" s="36" t="s">
        <v>49</v>
      </c>
      <c r="E68" s="149">
        <f>E79/B44</f>
        <v>4.0627893140794233</v>
      </c>
    </row>
    <row r="69" spans="1:5" s="9" customFormat="1"/>
    <row r="70" spans="1:5" s="9" customFormat="1">
      <c r="A70" s="13"/>
      <c r="B70" s="63" t="s">
        <v>54</v>
      </c>
    </row>
    <row r="71" spans="1:5" s="9" customFormat="1">
      <c r="A71" s="26" t="s">
        <v>45</v>
      </c>
      <c r="B71" s="207">
        <f>B83/B44</f>
        <v>10.614571508532423</v>
      </c>
    </row>
    <row r="72" spans="1:5" s="9" customFormat="1">
      <c r="A72" s="26" t="s">
        <v>49</v>
      </c>
      <c r="B72" s="207">
        <f>B84/B44</f>
        <v>4.0826800534296028</v>
      </c>
    </row>
    <row r="73" spans="1:5" s="9" customFormat="1">
      <c r="A73" s="13"/>
      <c r="B73" s="152"/>
    </row>
    <row r="74" spans="1:5" s="9" customFormat="1">
      <c r="A74" s="13"/>
      <c r="B74" s="152"/>
    </row>
    <row r="75" spans="1:5" s="9" customFormat="1"/>
    <row r="76" spans="1:5" s="9" customFormat="1" ht="18" thickBot="1">
      <c r="A76" s="72" t="s">
        <v>458</v>
      </c>
      <c r="B76" s="72"/>
      <c r="C76" s="72"/>
      <c r="D76" s="72"/>
      <c r="E76" s="72"/>
    </row>
    <row r="77" spans="1:5" s="9" customFormat="1" ht="15.6" thickTop="1">
      <c r="A77" s="19"/>
      <c r="B77" s="63" t="s">
        <v>38</v>
      </c>
      <c r="C77" s="17"/>
      <c r="D77" s="40"/>
      <c r="E77" s="63" t="s">
        <v>39</v>
      </c>
    </row>
    <row r="78" spans="1:5" s="9" customFormat="1">
      <c r="A78" s="26" t="s">
        <v>44</v>
      </c>
      <c r="B78" s="157">
        <f>B55*$B$43</f>
        <v>2500.6058020477817</v>
      </c>
      <c r="D78" s="36" t="s">
        <v>45</v>
      </c>
      <c r="E78" s="158">
        <f>E55*$B$43</f>
        <v>3550.8602389078501</v>
      </c>
    </row>
    <row r="79" spans="1:5" s="9" customFormat="1">
      <c r="A79" s="26" t="s">
        <v>48</v>
      </c>
      <c r="B79" s="155">
        <f>B56*$B$43</f>
        <v>21160.361010830329</v>
      </c>
      <c r="D79" s="36" t="s">
        <v>49</v>
      </c>
      <c r="E79" s="158">
        <f>E56*$B$43</f>
        <v>5078.4866425992786</v>
      </c>
    </row>
    <row r="80" spans="1:5" s="9" customFormat="1"/>
    <row r="81" spans="1:3" s="9" customFormat="1"/>
    <row r="82" spans="1:3" s="9" customFormat="1">
      <c r="A82" s="13"/>
      <c r="B82" s="63" t="s">
        <v>54</v>
      </c>
    </row>
    <row r="83" spans="1:3" s="9" customFormat="1">
      <c r="A83" s="26" t="s">
        <v>45</v>
      </c>
      <c r="B83" s="159">
        <f>B59*B43</f>
        <v>13268.214385665529</v>
      </c>
    </row>
    <row r="84" spans="1:3" s="9" customFormat="1">
      <c r="A84" s="26" t="s">
        <v>49</v>
      </c>
      <c r="B84" s="159">
        <f>B60*B43</f>
        <v>5103.3500667870039</v>
      </c>
    </row>
    <row r="85" spans="1:3" s="9" customFormat="1"/>
    <row r="86" spans="1:3" s="9" customFormat="1"/>
    <row r="87" spans="1:3" s="9" customFormat="1">
      <c r="A87" s="3"/>
      <c r="B87" s="3"/>
      <c r="C87" s="3"/>
    </row>
    <row r="88" spans="1:3" s="9" customFormat="1">
      <c r="A88" s="3"/>
      <c r="B88" s="3"/>
      <c r="C88" s="3"/>
    </row>
    <row r="89" spans="1:3" s="9" customFormat="1">
      <c r="A89" s="3"/>
      <c r="B89" s="3"/>
      <c r="C89" s="3"/>
    </row>
    <row r="90" spans="1:3" s="9" customFormat="1">
      <c r="A90" s="3"/>
      <c r="B90" s="3"/>
      <c r="C90" s="3"/>
    </row>
    <row r="91" spans="1:3" s="9" customFormat="1">
      <c r="A91" s="3"/>
      <c r="B91" s="3"/>
      <c r="C91" s="3"/>
    </row>
    <row r="92" spans="1:3" s="9" customFormat="1">
      <c r="A92" s="3"/>
      <c r="B92" s="3"/>
      <c r="C92" s="3"/>
    </row>
    <row r="93" spans="1:3" s="9" customFormat="1">
      <c r="A93" s="3"/>
      <c r="B93" s="3"/>
      <c r="C93" s="3"/>
    </row>
    <row r="94" spans="1:3" s="9" customFormat="1">
      <c r="A94" s="3"/>
      <c r="B94" s="3"/>
      <c r="C94" s="3"/>
    </row>
    <row r="95" spans="1:3" s="9" customFormat="1">
      <c r="A95" s="3"/>
      <c r="B95" s="3"/>
      <c r="C95" s="3"/>
    </row>
    <row r="96" spans="1:3" s="9" customFormat="1">
      <c r="A96" s="3"/>
      <c r="B96" s="3"/>
      <c r="C96" s="3"/>
    </row>
    <row r="97" spans="1:7" s="9" customFormat="1">
      <c r="A97" s="3"/>
      <c r="B97" s="3"/>
      <c r="C97" s="3"/>
    </row>
    <row r="98" spans="1:7" s="9" customFormat="1"/>
    <row r="99" spans="1:7" s="9" customFormat="1" hidden="1"/>
    <row r="100" spans="1:7" s="9" customFormat="1" hidden="1"/>
    <row r="101" spans="1:7" s="9" customFormat="1" ht="18.95" hidden="1">
      <c r="A101" s="60" t="s">
        <v>459</v>
      </c>
    </row>
    <row r="102" spans="1:7" s="9" customFormat="1" hidden="1">
      <c r="A102" s="48" t="s">
        <v>130</v>
      </c>
      <c r="B102" s="35" t="s">
        <v>32</v>
      </c>
    </row>
    <row r="103" spans="1:7" s="9" customFormat="1" hidden="1">
      <c r="A103" s="25"/>
      <c r="B103" s="31"/>
    </row>
    <row r="104" spans="1:7" s="9" customFormat="1" hidden="1">
      <c r="A104" s="25" t="s">
        <v>460</v>
      </c>
      <c r="B104" s="33">
        <f>Water_Heater_size_kBTUh*kW_per_BTUh</f>
        <v>146.53550000000001</v>
      </c>
    </row>
    <row r="105" spans="1:7" s="9" customFormat="1" hidden="1">
      <c r="A105" s="25" t="s">
        <v>461</v>
      </c>
      <c r="B105" s="33">
        <f>Water_Heater_size_in__kW*Water_Heater_Efficiency</f>
        <v>117.22840000000002</v>
      </c>
    </row>
    <row r="106" spans="1:7" s="9" customFormat="1" hidden="1">
      <c r="A106" s="25" t="s">
        <v>462</v>
      </c>
      <c r="B106" s="33">
        <f>water_heater_useful_output_kW/B40</f>
        <v>42.320722021660657</v>
      </c>
    </row>
    <row r="107" spans="1:7" s="9" customFormat="1" hidden="1">
      <c r="A107" s="31" t="s">
        <v>463</v>
      </c>
      <c r="B107" s="132">
        <f>Water_Heater_size_in__kW*kj_per_kwh</f>
        <v>527527.80000000005</v>
      </c>
      <c r="G107" s="18"/>
    </row>
    <row r="108" spans="1:7" s="9" customFormat="1" hidden="1">
      <c r="A108" s="31" t="s">
        <v>463</v>
      </c>
      <c r="B108" s="132">
        <f>water_heater_useful_output_kW*kj_per_kwh</f>
        <v>422022.24000000011</v>
      </c>
    </row>
    <row r="109" spans="1:7" s="9" customFormat="1" hidden="1">
      <c r="A109" s="14"/>
    </row>
    <row r="110" spans="1:7" s="9" customFormat="1" hidden="1">
      <c r="A110" s="14"/>
    </row>
    <row r="111" spans="1:7" s="9" customFormat="1" hidden="1">
      <c r="A111" s="21"/>
      <c r="B111" s="21"/>
    </row>
    <row r="112" spans="1:7" s="9" customFormat="1">
      <c r="A112" s="21"/>
      <c r="B112" s="21"/>
    </row>
    <row r="113" spans="1:11" s="9" customFormat="1">
      <c r="A113" s="21"/>
      <c r="B113" s="21"/>
    </row>
    <row r="114" spans="1:11" s="9" customFormat="1">
      <c r="A114" s="21"/>
      <c r="B114" s="21"/>
    </row>
    <row r="115" spans="1:11" s="9" customFormat="1">
      <c r="A115" s="15"/>
      <c r="B115" s="15"/>
    </row>
    <row r="116" spans="1:11" s="9" customFormat="1">
      <c r="A116" s="15"/>
      <c r="B116" s="21"/>
    </row>
    <row r="117" spans="1:11" s="9" customFormat="1">
      <c r="A117" s="15"/>
      <c r="B117" s="21"/>
      <c r="K117" s="16"/>
    </row>
    <row r="118" spans="1:11" s="9" customFormat="1">
      <c r="A118" s="58"/>
      <c r="B118" s="10"/>
      <c r="G118" s="18"/>
      <c r="H118" s="18"/>
      <c r="I118" s="18"/>
      <c r="J118" s="17"/>
    </row>
    <row r="119" spans="1:11" s="9" customFormat="1">
      <c r="A119" s="66"/>
      <c r="B119" s="10"/>
      <c r="G119" s="18"/>
      <c r="H119" s="18"/>
      <c r="I119" s="18"/>
      <c r="J119" s="17"/>
    </row>
    <row r="120" spans="1:11">
      <c r="A120" s="66"/>
      <c r="G120" s="67"/>
      <c r="H120" s="67"/>
      <c r="I120" s="67"/>
      <c r="J120" s="70"/>
    </row>
    <row r="121" spans="1:11">
      <c r="A121" s="66"/>
      <c r="G121" s="67"/>
      <c r="H121" s="67"/>
      <c r="I121" s="67"/>
      <c r="J121" s="70"/>
    </row>
    <row r="122" spans="1:11">
      <c r="A122" s="66"/>
      <c r="G122" s="67"/>
      <c r="H122" s="67"/>
      <c r="I122" s="67"/>
      <c r="J122" s="70"/>
    </row>
    <row r="123" spans="1:11">
      <c r="A123" s="66"/>
      <c r="G123" s="67"/>
      <c r="H123" s="67"/>
      <c r="I123" s="67"/>
      <c r="J123" s="70"/>
    </row>
    <row r="124" spans="1:11">
      <c r="A124" s="66"/>
      <c r="G124" s="67"/>
      <c r="H124" s="67"/>
      <c r="I124" s="67"/>
      <c r="J124" s="70"/>
    </row>
    <row r="125" spans="1:11">
      <c r="A125" s="66"/>
      <c r="G125" s="67"/>
      <c r="H125" s="67"/>
      <c r="I125" s="67"/>
    </row>
    <row r="126" spans="1:11">
      <c r="A126" s="66"/>
      <c r="E126" s="58"/>
      <c r="G126" s="67"/>
      <c r="H126" s="67"/>
      <c r="I126" s="67"/>
      <c r="J126" s="70"/>
      <c r="K126" s="67"/>
    </row>
    <row r="127" spans="1:11">
      <c r="A127" s="66"/>
      <c r="E127" s="58"/>
      <c r="G127" s="67"/>
      <c r="H127" s="67"/>
      <c r="I127" s="67"/>
      <c r="J127" s="67"/>
      <c r="K127" s="67"/>
    </row>
    <row r="128" spans="1:11">
      <c r="G128" s="67"/>
      <c r="H128" s="67"/>
    </row>
    <row r="129" spans="7:8">
      <c r="G129" s="67"/>
      <c r="H129" s="67"/>
    </row>
  </sheetData>
  <sheetProtection algorithmName="SHA-512" hashValue="YEo+nWcaLSLGTlwBss9zwC3eMVZ1iH35fxsueHtRsvUf/3Q/c1az+E1SFC3hSVLF5wcUfsJS/8d4NcZ4C9YWQg==" saltValue="YIBS3Synb/8wUCeOjEMqJw==" spinCount="100000" sheet="1" objects="1" scenarios="1"/>
  <mergeCells count="1">
    <mergeCell ref="A34:B34"/>
  </mergeCells>
  <dataValidations count="19">
    <dataValidation type="decimal" operator="greaterThan" allowBlank="1" showInputMessage="1" showErrorMessage="1" promptTitle="Input billing or meter factor" prompt="Input either the billing factor that converts cubic feet of natural gas to therms or the meter multiplier that converts cubic feet of natual gas reading on the meter to therms. These are available from your utility or can be found on your bill or meter." sqref="B26" xr:uid="{AFD9F50F-F958-4C68-9A7C-5159FA1DCED7}">
      <formula1>0</formula1>
    </dataValidation>
    <dataValidation type="time" operator="greaterThan" allowBlank="1" showInputMessage="1" showErrorMessage="1" promptTitle="Input the end time" prompt="Input the time you finished the step you are estimating, this should also be when you read the gas meter again." sqref="B25" xr:uid="{CA8C4726-B831-453C-A821-F14412C1ED7D}">
      <formula1>B23</formula1>
    </dataValidation>
    <dataValidation type="time" operator="greaterThanOrEqual" allowBlank="1" showInputMessage="1" showErrorMessage="1" promptTitle="Input start time" prompt="Input the time you started the step you are estimating." sqref="B23" xr:uid="{8CAF3729-FD69-4EC5-A08F-55DB8EF85A73}">
      <formula1>0</formula1>
    </dataValidation>
    <dataValidation type="decimal" operator="greaterThan" allowBlank="1" showInputMessage="1" showErrorMessage="1" promptTitle="Gas meter ending reading" prompt="Input the gas meter reading at the end of the step you are estimating." sqref="B24" xr:uid="{AEE39D79-3ADB-4D40-94B0-1310CBC2FC49}">
      <formula1>B22</formula1>
    </dataValidation>
    <dataValidation type="decimal" operator="greaterThan" allowBlank="1" showInputMessage="1" showErrorMessage="1" promptTitle="Gas Meter Starting Reading" prompt="Input the starting reading for the gas meter. Consult your utility for help reading your specific meter." sqref="B22" xr:uid="{DD0AC9AA-5D69-47AA-82D8-E2D8E7551A4B}">
      <formula1>0</formula1>
    </dataValidation>
    <dataValidation allowBlank="1" showInputMessage="1" showErrorMessage="1" promptTitle="Enter Water Heater Size" prompt="Enter the size of the water heater in thousands of BTU per hour (kBTU or MBTU)." sqref="B38" xr:uid="{2E9B43BE-3832-4AED-99A0-72D56FB3B6E1}"/>
    <dataValidation type="decimal" allowBlank="1" showInputMessage="1" showErrorMessage="1" promptTitle="Enter water heater efficiency" prompt="Enter the efficiency of the water heater._x000a_Range: 0-100%" sqref="B39" xr:uid="{5A3C947B-EB35-4B4D-A88C-8FAAC30DBB3E}">
      <formula1>0.01</formula1>
      <formula2>1</formula2>
    </dataValidation>
    <dataValidation type="decimal" allowBlank="1" showInputMessage="1" showErrorMessage="1" promptTitle="Enter the COP of the heat pump" prompt="Enter the Coefficient of Performance of the Air source heat pump water heater._x000a_Range: 0-20" sqref="B40" xr:uid="{D79EB01B-09E3-46C3-BC43-D1A0884175AD}">
      <formula1>0</formula1>
      <formula2>20</formula2>
    </dataValidation>
    <dataValidation type="decimal" allowBlank="1" showInputMessage="1" showErrorMessage="1" promptTitle="Enter WH Operation Hours" prompt="Enter the number of hours the water heater operates for the production time period._x000a_Range: 0-8760" sqref="B43" xr:uid="{083DBA15-8DAE-44B3-A0F2-92CA385C3F6B}">
      <formula1>0</formula1>
      <formula2>8760</formula2>
    </dataValidation>
    <dataValidation type="decimal" allowBlank="1" showInputMessage="1" showErrorMessage="1" promptTitle="Enter Beer Barrel Production" prompt="Enter the annual number of barrels of beer produced._x000a_Range: 0-6,000,000" sqref="B44" xr:uid="{3A2A9F63-9065-4DD1-B27D-CB377B0A69C3}">
      <formula1>0.1</formula1>
      <formula2>6000000</formula2>
    </dataValidation>
    <dataValidation allowBlank="1" showInputMessage="1" showErrorMessage="1" promptTitle="Enter Bill hours of operation" prompt="Enter the number of hours the water heater was operating for during the billing period." sqref="E22" xr:uid="{00BA78B9-1024-4431-A69E-AF1CFE3A8F67}"/>
    <dataValidation allowBlank="1" showInputMessage="1" showErrorMessage="1" promptTitle="Enter the Bill Gas Use" prompt="Enter the gas use from the bill in therms." sqref="E23" xr:uid="{2BB8D0E9-3DF9-49F9-866D-DF11E8832B9A}"/>
    <dataValidation type="decimal" allowBlank="1" showInputMessage="1" showErrorMessage="1" promptTitle="Enter Percent Use" prompt="Enter what percent of the gas bill is from the water heater._x000a_Range: 0-100%" sqref="E24" xr:uid="{15E8BCD1-B913-49A7-A30A-9C4D73D99377}">
      <formula1>0</formula1>
      <formula2>1</formula2>
    </dataValidation>
    <dataValidation allowBlank="1" showInputMessage="1" showErrorMessage="1" promptTitle="Use bill data or meter data" prompt="The average load estimate is a metric used to demonstrate how heavily or lightly loaded a piece of equipment is relative to it's rated output capacity." sqref="A19" xr:uid="{5D27D7C6-2372-43DD-BFE4-E535A7BB1211}"/>
    <dataValidation allowBlank="1" showInputMessage="1" showErrorMessage="1" prompt="Billing factor or meter multiplier to convert from cubic feet to therms. _x000a_" sqref="A26" xr:uid="{FB5DB485-8814-4A7B-9319-631FCA1604E3}"/>
    <dataValidation allowBlank="1" showInputMessage="1" showErrorMessage="1" prompt="% of gas use that can be attributed to steam boiler " sqref="D24" xr:uid="{B38ED7B2-DBB4-4933-82ED-17BA8F1DC245}"/>
    <dataValidation allowBlank="1" showInputMessage="1" showErrorMessage="1" prompt="First, safely turn off all gas using appliances. Read gas meter to the smallest unit, then write down your starting time. Perform the step you are trying to estimate (such as HLT heating), then read gas meter smallest unit again. Write down ending time. " sqref="A21" xr:uid="{EA26AFA2-80D3-4969-A6D5-B9EC1ACC0121}"/>
    <dataValidation allowBlank="1" showInputMessage="1" showErrorMessage="1" prompt="Input the first three values below to determine average load estimate" sqref="D21" xr:uid="{F7A987B1-1C36-4852-909F-B2AAFAD15302}"/>
    <dataValidation allowBlank="1" showInputMessage="1" showErrorMessage="1" prompt="Select the source of your final average load % estimate used for calculations. " sqref="A45" xr:uid="{0CD2892D-0FAE-4A1B-9CA4-DFF8779A50AD}"/>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Load Factor Value Source" prompt="Select the load factor value source._x000a_Standard Estimate: 50%_x000a_Bill Data Calculation Estimate_x000a_Meter Data Calculation Estimate" xr:uid="{81B43941-9282-4BB6-A137-FF660C3B83A5}">
          <x14:formula1>
            <xm:f>Reference!$B$63:$B$65</xm:f>
          </x14:formula1>
          <xm:sqref>B45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DBF9E-6C6B-4769-89C4-B1FC952C0078}">
  <sheetPr codeName="Sheet10">
    <tabColor rgb="FF7030A0"/>
  </sheetPr>
  <dimension ref="A1:Q128"/>
  <sheetViews>
    <sheetView topLeftCell="A37" workbookViewId="0">
      <selection activeCell="H41" sqref="H41:I68"/>
    </sheetView>
  </sheetViews>
  <sheetFormatPr defaultColWidth="8.85546875" defaultRowHeight="15"/>
  <cols>
    <col min="1" max="1" width="33.85546875" style="10" customWidth="1"/>
    <col min="2" max="2" width="29.140625" style="10" customWidth="1"/>
    <col min="3" max="3" width="17.42578125" style="10" customWidth="1"/>
    <col min="4" max="4" width="42.5703125" style="10" customWidth="1"/>
    <col min="5" max="5" width="23.140625" style="10" customWidth="1"/>
    <col min="6" max="6" width="16.140625" style="10" bestFit="1" customWidth="1"/>
    <col min="7" max="8" width="8.85546875" style="10"/>
    <col min="9" max="9" width="15.140625" style="10" bestFit="1" customWidth="1"/>
    <col min="10" max="10" width="9.85546875" style="10" customWidth="1"/>
    <col min="11" max="11" width="8.85546875" style="10"/>
    <col min="12" max="12" width="15.140625" style="10" bestFit="1" customWidth="1"/>
    <col min="13" max="13" width="14" style="10" customWidth="1"/>
    <col min="14" max="14" width="12.85546875" style="10" customWidth="1"/>
    <col min="15" max="17" width="8.85546875" style="10"/>
    <col min="18" max="18" width="12.5703125" style="10" customWidth="1"/>
    <col min="19" max="16384" width="8.85546875" style="10"/>
  </cols>
  <sheetData>
    <row r="1" spans="1:9" s="11" customFormat="1" ht="34.5">
      <c r="A1" s="4" t="s">
        <v>0</v>
      </c>
      <c r="B1" s="5"/>
      <c r="E1" s="5"/>
      <c r="I1" s="5"/>
    </row>
    <row r="2" spans="1:9" s="11" customFormat="1" ht="20.100000000000001">
      <c r="A2" s="6" t="s">
        <v>35</v>
      </c>
    </row>
    <row r="3" spans="1:9" s="11" customFormat="1"/>
    <row r="4" spans="1:9" s="9" customFormat="1"/>
    <row r="5" spans="1:9" s="9" customFormat="1"/>
    <row r="6" spans="1:9" s="9" customFormat="1"/>
    <row r="7" spans="1:9" s="9" customFormat="1"/>
    <row r="8" spans="1:9" s="9" customFormat="1"/>
    <row r="9" spans="1:9" s="9" customFormat="1"/>
    <row r="10" spans="1:9" s="9" customFormat="1"/>
    <row r="11" spans="1:9" s="9" customFormat="1"/>
    <row r="12" spans="1:9" s="9" customFormat="1"/>
    <row r="13" spans="1:9" s="9" customFormat="1" ht="23.1" thickBot="1">
      <c r="A13" s="71" t="s">
        <v>22</v>
      </c>
    </row>
    <row r="14" spans="1:9" s="9" customFormat="1" ht="15.6" thickTop="1">
      <c r="A14" s="61" t="str">
        <f>'Comparison Calcs'!B25</f>
        <v>User Input</v>
      </c>
    </row>
    <row r="15" spans="1:9" s="9" customFormat="1">
      <c r="A15" s="161" t="str">
        <f>'Comparison Calcs'!B26</f>
        <v>Intermediate Calculated Value</v>
      </c>
    </row>
    <row r="16" spans="1:9" s="9" customFormat="1">
      <c r="A16" s="162" t="str">
        <f>'Comparison Calcs'!B27</f>
        <v>Output Calculation result</v>
      </c>
    </row>
    <row r="17" spans="1:5" s="9" customFormat="1">
      <c r="A17" s="68" t="str">
        <f>'Comparison Calcs'!B28</f>
        <v>Final output</v>
      </c>
    </row>
    <row r="18" spans="1:5" s="9" customFormat="1"/>
    <row r="19" spans="1:5" s="9" customFormat="1" ht="23.45" thickBot="1">
      <c r="A19" s="71" t="s">
        <v>429</v>
      </c>
      <c r="B19" s="89"/>
      <c r="C19" s="89"/>
      <c r="D19" s="89"/>
      <c r="E19" s="89"/>
    </row>
    <row r="20" spans="1:5" s="9" customFormat="1" ht="15.6" thickTop="1">
      <c r="A20" s="16"/>
    </row>
    <row r="21" spans="1:5" s="9" customFormat="1" ht="18.95">
      <c r="A21" s="60" t="s">
        <v>430</v>
      </c>
      <c r="B21" s="16"/>
      <c r="D21" s="97" t="s">
        <v>431</v>
      </c>
      <c r="E21" s="13"/>
    </row>
    <row r="22" spans="1:5" s="9" customFormat="1">
      <c r="A22" s="31" t="s">
        <v>432</v>
      </c>
      <c r="B22" s="214">
        <v>1000</v>
      </c>
      <c r="C22" s="14"/>
      <c r="D22" s="25" t="s">
        <v>464</v>
      </c>
      <c r="E22" s="214">
        <v>25</v>
      </c>
    </row>
    <row r="23" spans="1:5" s="9" customFormat="1">
      <c r="A23" s="31" t="s">
        <v>434</v>
      </c>
      <c r="B23" s="215">
        <v>45353.979166666664</v>
      </c>
      <c r="C23" s="14"/>
      <c r="D23" s="25" t="s">
        <v>435</v>
      </c>
      <c r="E23" s="214">
        <v>300</v>
      </c>
    </row>
    <row r="24" spans="1:5" s="9" customFormat="1">
      <c r="A24" s="31" t="s">
        <v>436</v>
      </c>
      <c r="B24" s="214">
        <v>1020</v>
      </c>
      <c r="C24" s="14"/>
      <c r="D24" s="25" t="s">
        <v>437</v>
      </c>
      <c r="E24" s="218">
        <v>0.9</v>
      </c>
    </row>
    <row r="25" spans="1:5" s="9" customFormat="1">
      <c r="A25" s="31" t="s">
        <v>438</v>
      </c>
      <c r="B25" s="215">
        <v>45354.0625</v>
      </c>
      <c r="D25" s="31" t="s">
        <v>439</v>
      </c>
      <c r="E25" s="165">
        <f>E23*Reference!C40/1000</f>
        <v>29992.83</v>
      </c>
    </row>
    <row r="26" spans="1:5" s="9" customFormat="1">
      <c r="A26" s="31" t="s">
        <v>440</v>
      </c>
      <c r="B26" s="214">
        <v>1.1000000000000001</v>
      </c>
      <c r="D26" s="31" t="s">
        <v>441</v>
      </c>
      <c r="E26" s="165">
        <f>(E25*E24)/E22</f>
        <v>1079.74188</v>
      </c>
    </row>
    <row r="27" spans="1:5" s="9" customFormat="1">
      <c r="A27" s="31" t="s">
        <v>442</v>
      </c>
      <c r="B27" s="146">
        <f>(B25-B23)/(1/24)</f>
        <v>2.0000000000582077</v>
      </c>
      <c r="D27" s="31" t="s">
        <v>443</v>
      </c>
      <c r="E27" s="165">
        <f>Boiler_Size__BHP*btuh_per_boiler_hp/1000</f>
        <v>1673.75</v>
      </c>
    </row>
    <row r="28" spans="1:5" s="9" customFormat="1">
      <c r="A28" s="31" t="s">
        <v>444</v>
      </c>
      <c r="B28" s="161">
        <f>B24-B22</f>
        <v>20</v>
      </c>
      <c r="D28" s="31" t="s">
        <v>445</v>
      </c>
      <c r="E28" s="164">
        <f>E26/E27</f>
        <v>0.64510343838685591</v>
      </c>
    </row>
    <row r="29" spans="1:5" s="9" customFormat="1">
      <c r="A29" s="31" t="s">
        <v>446</v>
      </c>
      <c r="B29" s="161">
        <f>B28*Reference!C40/1000/B27</f>
        <v>999.76099997090307</v>
      </c>
    </row>
    <row r="30" spans="1:5" s="9" customFormat="1">
      <c r="A30" s="31" t="s">
        <v>447</v>
      </c>
      <c r="B30" s="161">
        <f>Boiler_Size__BHP*btuh_per_boiler_hp/1000</f>
        <v>1673.75</v>
      </c>
    </row>
    <row r="31" spans="1:5" s="9" customFormat="1">
      <c r="A31" s="31" t="s">
        <v>448</v>
      </c>
      <c r="B31" s="166">
        <f>B29/B30</f>
        <v>0.59731799848896372</v>
      </c>
    </row>
    <row r="32" spans="1:5" s="9" customFormat="1"/>
    <row r="33" spans="1:17" s="9" customFormat="1"/>
    <row r="34" spans="1:17" s="9" customFormat="1" ht="23.45" thickBot="1">
      <c r="A34" s="69" t="s">
        <v>327</v>
      </c>
      <c r="B34" s="89"/>
      <c r="C34" s="89"/>
      <c r="D34" s="89"/>
      <c r="E34" s="89"/>
    </row>
    <row r="35" spans="1:17" s="9" customFormat="1" ht="23.1" thickTop="1">
      <c r="A35" s="59"/>
    </row>
    <row r="36" spans="1:17" s="9" customFormat="1" ht="18.95">
      <c r="A36" s="60" t="s">
        <v>449</v>
      </c>
    </row>
    <row r="37" spans="1:17" s="9" customFormat="1">
      <c r="A37" s="25" t="s">
        <v>60</v>
      </c>
      <c r="B37" s="219">
        <f>'Comparison Calcs'!D55</f>
        <v>50</v>
      </c>
      <c r="N37" s="141"/>
      <c r="P37" s="142"/>
    </row>
    <row r="38" spans="1:17" s="9" customFormat="1">
      <c r="A38" s="25" t="s">
        <v>61</v>
      </c>
      <c r="B38" s="220">
        <f>'Comparison Calcs'!D58</f>
        <v>0.8</v>
      </c>
      <c r="P38" s="142"/>
    </row>
    <row r="39" spans="1:17" s="9" customFormat="1">
      <c r="A39" s="25" t="s">
        <v>452</v>
      </c>
      <c r="B39" s="219">
        <f>'Comparison Calcs'!D54</f>
        <v>2.7</v>
      </c>
      <c r="P39" s="142"/>
    </row>
    <row r="40" spans="1:17" s="9" customFormat="1">
      <c r="P40" s="142"/>
    </row>
    <row r="41" spans="1:17" s="9" customFormat="1" ht="18.95">
      <c r="A41" s="60" t="s">
        <v>328</v>
      </c>
      <c r="P41" s="142"/>
    </row>
    <row r="42" spans="1:17" s="9" customFormat="1"/>
    <row r="43" spans="1:17" s="9" customFormat="1">
      <c r="A43" s="25" t="s">
        <v>465</v>
      </c>
      <c r="B43" s="214">
        <f>'Comparison Calcs'!D56</f>
        <v>1000</v>
      </c>
    </row>
    <row r="44" spans="1:17" s="9" customFormat="1">
      <c r="A44" s="25" t="s">
        <v>466</v>
      </c>
      <c r="B44" s="221">
        <f>'Comparison Calcs'!D57</f>
        <v>1250</v>
      </c>
      <c r="Q44" s="15"/>
    </row>
    <row r="45" spans="1:17" s="9" customFormat="1">
      <c r="A45" s="31" t="s">
        <v>453</v>
      </c>
      <c r="B45" s="214" t="s">
        <v>126</v>
      </c>
      <c r="Q45" s="15"/>
    </row>
    <row r="46" spans="1:17" s="9" customFormat="1">
      <c r="A46" s="31" t="s">
        <v>454</v>
      </c>
      <c r="B46" s="145" cm="1">
        <f t="array" ref="B46">_xlfn.IFS(B45=Reference!B63,Reference!C63,B45=Reference!B64,SGHP!E28,SGHP!B45=Reference!B65,SGHP!B31)</f>
        <v>0.5</v>
      </c>
      <c r="Q46" s="15"/>
    </row>
    <row r="47" spans="1:17" s="9" customFormat="1">
      <c r="Q47" s="15"/>
    </row>
    <row r="48" spans="1:17" s="9" customFormat="1" ht="23.1" thickBot="1">
      <c r="A48" s="69" t="s">
        <v>345</v>
      </c>
      <c r="Q48" s="15"/>
    </row>
    <row r="49" spans="1:17" s="9" customFormat="1" ht="15.6" thickTop="1">
      <c r="Q49" s="15"/>
    </row>
    <row r="50" spans="1:17" s="9" customFormat="1" ht="18" thickBot="1">
      <c r="A50" s="62" t="s">
        <v>467</v>
      </c>
      <c r="B50" s="62"/>
      <c r="C50" s="62"/>
      <c r="D50" s="62"/>
      <c r="E50" s="62"/>
      <c r="P50" s="15"/>
    </row>
    <row r="51" spans="1:17" s="9" customFormat="1" ht="15.6" thickTop="1">
      <c r="A51" s="15"/>
      <c r="B51" s="63" t="s">
        <v>38</v>
      </c>
      <c r="C51" s="18"/>
      <c r="D51" s="99"/>
      <c r="E51" s="63" t="s">
        <v>39</v>
      </c>
      <c r="P51" s="15"/>
    </row>
    <row r="52" spans="1:17" s="9" customFormat="1">
      <c r="A52" s="26" t="s">
        <v>44</v>
      </c>
      <c r="B52" s="172">
        <f>kJ_per_hour/kJ_per_therm*B46</f>
        <v>8.3720136518771326</v>
      </c>
      <c r="C52" s="173"/>
      <c r="D52" s="185" t="s">
        <v>45</v>
      </c>
      <c r="E52" s="158">
        <f>Natural_gas_therm*NG_Cost_per_therm</f>
        <v>11.888259385665528</v>
      </c>
      <c r="P52" s="15"/>
    </row>
    <row r="53" spans="1:17" s="9" customFormat="1">
      <c r="A53" s="26" t="s">
        <v>48</v>
      </c>
      <c r="B53" s="174">
        <f>Heat_pump_input_required__kW*kW_to_kWh*B46</f>
        <v>72.681481481481484</v>
      </c>
      <c r="C53" s="173"/>
      <c r="D53" s="185" t="s">
        <v>49</v>
      </c>
      <c r="E53" s="158">
        <f>Heat_pump_kwh*Electricity_Cost_per_kWh</f>
        <v>17.443555555555555</v>
      </c>
      <c r="P53" s="15"/>
    </row>
    <row r="54" spans="1:17" s="9" customFormat="1">
      <c r="A54" s="13"/>
      <c r="B54" s="173"/>
      <c r="C54" s="173"/>
      <c r="D54" s="186"/>
      <c r="E54" s="173"/>
      <c r="P54" s="15"/>
    </row>
    <row r="55" spans="1:17" s="9" customFormat="1">
      <c r="A55" s="13"/>
      <c r="B55" s="176" t="s">
        <v>54</v>
      </c>
      <c r="C55" s="173"/>
      <c r="D55" s="187"/>
      <c r="E55" s="143"/>
      <c r="P55" s="15"/>
    </row>
    <row r="56" spans="1:17" s="9" customFormat="1">
      <c r="A56" s="26" t="s">
        <v>45</v>
      </c>
      <c r="B56" s="177">
        <f>Natural_gas_therm*kg_CO2_per_therm</f>
        <v>44.421904436860068</v>
      </c>
      <c r="C56" s="173"/>
      <c r="D56" s="187"/>
      <c r="E56" s="143"/>
      <c r="P56" s="15"/>
    </row>
    <row r="57" spans="1:17" s="9" customFormat="1">
      <c r="A57" s="26" t="s">
        <v>49</v>
      </c>
      <c r="B57" s="159">
        <f>Heat_pump_kwh*kg_CO2_per_kWh</f>
        <v>17.528956296296297</v>
      </c>
      <c r="C57" s="173"/>
      <c r="D57" s="187"/>
      <c r="E57" s="143"/>
      <c r="P57" s="15"/>
    </row>
    <row r="58" spans="1:17" s="9" customFormat="1">
      <c r="B58" s="143"/>
      <c r="C58" s="143"/>
      <c r="D58" s="187"/>
      <c r="E58" s="143"/>
    </row>
    <row r="59" spans="1:17" s="9" customFormat="1">
      <c r="B59" s="143"/>
      <c r="C59" s="143"/>
      <c r="D59" s="187"/>
      <c r="E59" s="143"/>
    </row>
    <row r="60" spans="1:17" s="9" customFormat="1">
      <c r="B60" s="143"/>
      <c r="C60" s="143"/>
      <c r="D60" s="187"/>
      <c r="E60" s="143"/>
      <c r="P60" s="15"/>
    </row>
    <row r="61" spans="1:17" s="9" customFormat="1" ht="23.1" thickBot="1">
      <c r="A61" s="71" t="s">
        <v>456</v>
      </c>
      <c r="B61" s="143"/>
      <c r="C61" s="176"/>
      <c r="D61" s="187"/>
      <c r="E61" s="143"/>
      <c r="P61" s="15"/>
    </row>
    <row r="62" spans="1:17" s="9" customFormat="1" ht="18.600000000000001" thickTop="1" thickBot="1">
      <c r="A62" s="72" t="s">
        <v>457</v>
      </c>
      <c r="B62" s="178"/>
      <c r="C62" s="178"/>
      <c r="D62" s="178"/>
      <c r="E62" s="178"/>
      <c r="P62" s="15"/>
    </row>
    <row r="63" spans="1:17" s="9" customFormat="1" ht="15.6" thickTop="1">
      <c r="A63" s="15"/>
      <c r="B63" s="176" t="s">
        <v>38</v>
      </c>
      <c r="C63" s="173"/>
      <c r="D63" s="186"/>
      <c r="E63" s="176" t="s">
        <v>39</v>
      </c>
    </row>
    <row r="64" spans="1:17" s="9" customFormat="1">
      <c r="A64" s="26" t="s">
        <v>44</v>
      </c>
      <c r="B64" s="179">
        <f>B75/B44</f>
        <v>6.6976109215017061</v>
      </c>
      <c r="C64" s="173"/>
      <c r="D64" s="185" t="s">
        <v>45</v>
      </c>
      <c r="E64" s="158">
        <f>E75/B44</f>
        <v>9.5106075085324218</v>
      </c>
    </row>
    <row r="65" spans="1:6" s="9" customFormat="1">
      <c r="A65" s="26" t="s">
        <v>48</v>
      </c>
      <c r="B65" s="180">
        <f>B76/B44</f>
        <v>58.145185185185191</v>
      </c>
      <c r="C65" s="173"/>
      <c r="D65" s="185" t="s">
        <v>49</v>
      </c>
      <c r="E65" s="158">
        <f>E76/B44</f>
        <v>13.954844444444443</v>
      </c>
    </row>
    <row r="66" spans="1:6" s="9" customFormat="1">
      <c r="A66" s="14"/>
      <c r="B66" s="173"/>
      <c r="C66" s="173"/>
      <c r="D66" s="186"/>
      <c r="E66" s="181"/>
    </row>
    <row r="67" spans="1:6" s="9" customFormat="1">
      <c r="A67" s="14"/>
      <c r="B67" s="176" t="s">
        <v>54</v>
      </c>
      <c r="C67" s="173"/>
      <c r="D67" s="187"/>
      <c r="E67" s="182"/>
    </row>
    <row r="68" spans="1:6" s="9" customFormat="1">
      <c r="A68" s="26" t="s">
        <v>45</v>
      </c>
      <c r="B68" s="177">
        <f>B79/B44</f>
        <v>35.53752354948805</v>
      </c>
      <c r="C68" s="173"/>
      <c r="D68" s="187"/>
      <c r="E68" s="182"/>
    </row>
    <row r="69" spans="1:6" s="9" customFormat="1">
      <c r="A69" s="26" t="s">
        <v>49</v>
      </c>
      <c r="B69" s="159">
        <f>B80/B44</f>
        <v>14.023165037037037</v>
      </c>
      <c r="C69" s="173"/>
      <c r="D69" s="187"/>
      <c r="E69" s="182"/>
    </row>
    <row r="70" spans="1:6" s="9" customFormat="1">
      <c r="A70" s="13"/>
      <c r="B70" s="153"/>
      <c r="C70" s="173"/>
      <c r="D70" s="187"/>
      <c r="E70" s="182"/>
    </row>
    <row r="71" spans="1:6" s="9" customFormat="1">
      <c r="A71" s="13"/>
      <c r="B71" s="153"/>
      <c r="C71" s="173"/>
      <c r="D71" s="187"/>
      <c r="E71" s="182"/>
    </row>
    <row r="72" spans="1:6" s="9" customFormat="1">
      <c r="A72" s="16"/>
      <c r="B72" s="143"/>
      <c r="C72" s="143"/>
      <c r="D72" s="187"/>
      <c r="E72" s="182"/>
    </row>
    <row r="73" spans="1:6" s="9" customFormat="1" ht="18" thickBot="1">
      <c r="A73" s="72" t="s">
        <v>458</v>
      </c>
      <c r="B73" s="178"/>
      <c r="C73" s="178"/>
      <c r="D73" s="178"/>
      <c r="E73" s="183"/>
    </row>
    <row r="74" spans="1:6" s="9" customFormat="1" ht="15.6" thickTop="1">
      <c r="A74" s="15"/>
      <c r="B74" s="176" t="s">
        <v>38</v>
      </c>
      <c r="C74" s="173"/>
      <c r="D74" s="186"/>
      <c r="E74" s="184" t="s">
        <v>39</v>
      </c>
    </row>
    <row r="75" spans="1:6" s="9" customFormat="1">
      <c r="A75" s="26" t="s">
        <v>44</v>
      </c>
      <c r="B75" s="179">
        <f>Natural_gas_therm*B43</f>
        <v>8372.0136518771324</v>
      </c>
      <c r="C75" s="173"/>
      <c r="D75" s="185" t="s">
        <v>45</v>
      </c>
      <c r="E75" s="158">
        <f>E52*B43</f>
        <v>11888.259385665528</v>
      </c>
    </row>
    <row r="76" spans="1:6" s="9" customFormat="1">
      <c r="A76" s="26" t="s">
        <v>48</v>
      </c>
      <c r="B76" s="180">
        <f>Heat_pump_kwh*B43</f>
        <v>72681.481481481489</v>
      </c>
      <c r="C76" s="173"/>
      <c r="D76" s="185" t="s">
        <v>49</v>
      </c>
      <c r="E76" s="158">
        <f>E53*B43</f>
        <v>17443.555555555555</v>
      </c>
    </row>
    <row r="77" spans="1:6" s="9" customFormat="1">
      <c r="A77" s="13"/>
      <c r="B77" s="173"/>
      <c r="C77" s="173"/>
      <c r="D77" s="173"/>
      <c r="E77" s="175"/>
      <c r="F77" s="18"/>
    </row>
    <row r="78" spans="1:6" s="9" customFormat="1">
      <c r="A78" s="13"/>
      <c r="B78" s="176" t="s">
        <v>54</v>
      </c>
      <c r="C78" s="173"/>
      <c r="D78" s="173"/>
      <c r="E78" s="143"/>
    </row>
    <row r="79" spans="1:6" s="9" customFormat="1">
      <c r="A79" s="26" t="s">
        <v>45</v>
      </c>
      <c r="B79" s="177">
        <f>B56*B43</f>
        <v>44421.904436860066</v>
      </c>
      <c r="C79" s="173"/>
      <c r="D79" s="173"/>
      <c r="E79" s="143"/>
    </row>
    <row r="80" spans="1:6" s="9" customFormat="1">
      <c r="A80" s="26" t="s">
        <v>49</v>
      </c>
      <c r="B80" s="159">
        <f>B57*B43</f>
        <v>17528.956296296295</v>
      </c>
      <c r="C80" s="173"/>
      <c r="D80" s="173"/>
      <c r="E80" s="143"/>
    </row>
    <row r="81" spans="1:16" s="9" customFormat="1">
      <c r="A81" s="16"/>
    </row>
    <row r="82" spans="1:16" s="9" customFormat="1"/>
    <row r="83" spans="1:16" s="9" customFormat="1"/>
    <row r="84" spans="1:16" s="9" customFormat="1"/>
    <row r="85" spans="1:16" s="9" customFormat="1"/>
    <row r="86" spans="1:16" s="9" customFormat="1"/>
    <row r="87" spans="1:16" s="9" customFormat="1"/>
    <row r="88" spans="1:16" s="9" customFormat="1"/>
    <row r="89" spans="1:16" s="9" customFormat="1"/>
    <row r="90" spans="1:16" s="9" customFormat="1"/>
    <row r="91" spans="1:16" s="9" customFormat="1"/>
    <row r="92" spans="1:16" s="9" customFormat="1">
      <c r="P92" s="15"/>
    </row>
    <row r="93" spans="1:16" s="9" customFormat="1">
      <c r="P93" s="15"/>
    </row>
    <row r="94" spans="1:16" s="9" customFormat="1"/>
    <row r="95" spans="1:16" s="9" customFormat="1"/>
    <row r="96" spans="1:16" s="9" customFormat="1"/>
    <row r="97" spans="1:6" s="9" customFormat="1"/>
    <row r="98" spans="1:6" s="9" customFormat="1"/>
    <row r="99" spans="1:6" s="9" customFormat="1"/>
    <row r="100" spans="1:6" s="9" customFormat="1">
      <c r="F100" s="16"/>
    </row>
    <row r="101" spans="1:6" s="9" customFormat="1"/>
    <row r="102" spans="1:6" s="55" customFormat="1" hidden="1">
      <c r="A102" s="55" t="s">
        <v>468</v>
      </c>
    </row>
    <row r="103" spans="1:6" s="55" customFormat="1" hidden="1">
      <c r="A103" s="55" t="s">
        <v>469</v>
      </c>
    </row>
    <row r="104" spans="1:6" s="55" customFormat="1" hidden="1">
      <c r="A104" s="55" t="s">
        <v>130</v>
      </c>
      <c r="B104" s="55" t="s">
        <v>32</v>
      </c>
    </row>
    <row r="105" spans="1:6" s="55" customFormat="1" hidden="1"/>
    <row r="106" spans="1:6" s="55" customFormat="1" hidden="1">
      <c r="A106" s="55" t="s">
        <v>470</v>
      </c>
      <c r="B106" s="55">
        <f>Boiler_Size__BHP*boiler_hp_per_kW</f>
        <v>490.59999999999997</v>
      </c>
    </row>
    <row r="107" spans="1:6" s="55" customFormat="1" hidden="1">
      <c r="A107" s="55" t="s">
        <v>471</v>
      </c>
      <c r="B107" s="55">
        <f>boiler_size_in__kW*B38</f>
        <v>392.48</v>
      </c>
    </row>
    <row r="108" spans="1:6" s="55" customFormat="1" hidden="1">
      <c r="A108" s="55" t="s">
        <v>472</v>
      </c>
      <c r="B108" s="55">
        <f>Boiler_useful_output__kW/Heat_Pump_COP</f>
        <v>145.36296296296297</v>
      </c>
    </row>
    <row r="109" spans="1:6" s="55" customFormat="1" hidden="1">
      <c r="A109" s="55" t="s">
        <v>473</v>
      </c>
      <c r="B109" s="55">
        <f>boiler_size_in__kW*3600</f>
        <v>1766159.9999999998</v>
      </c>
    </row>
    <row r="110" spans="1:6" s="9" customFormat="1">
      <c r="A110" s="14"/>
      <c r="B110" s="83"/>
      <c r="E110" s="18"/>
    </row>
    <row r="111" spans="1:6" s="9" customFormat="1">
      <c r="A111" s="21"/>
      <c r="B111" s="21"/>
    </row>
    <row r="112" spans="1:6" s="9" customFormat="1">
      <c r="A112" s="21"/>
      <c r="B112" s="21"/>
    </row>
    <row r="113" spans="1:16" s="9" customFormat="1">
      <c r="A113" s="21"/>
      <c r="B113" s="21"/>
      <c r="H113" s="21"/>
      <c r="I113" s="64"/>
    </row>
    <row r="114" spans="1:16" s="9" customFormat="1">
      <c r="A114" s="15"/>
      <c r="B114" s="15"/>
      <c r="H114" s="21"/>
      <c r="I114" s="64"/>
      <c r="K114" s="16"/>
    </row>
    <row r="115" spans="1:16" s="9" customFormat="1">
      <c r="A115" s="15"/>
      <c r="B115" s="21"/>
      <c r="H115" s="21"/>
      <c r="I115" s="64"/>
      <c r="J115" s="17"/>
    </row>
    <row r="116" spans="1:16" s="9" customFormat="1">
      <c r="A116" s="15"/>
      <c r="B116" s="21"/>
      <c r="J116" s="17"/>
    </row>
    <row r="117" spans="1:16" s="9" customFormat="1">
      <c r="A117" s="15"/>
      <c r="G117" s="18"/>
      <c r="J117" s="17"/>
    </row>
    <row r="118" spans="1:16" s="9" customFormat="1">
      <c r="A118" s="21"/>
      <c r="G118" s="18"/>
      <c r="I118" s="18"/>
      <c r="J118" s="17"/>
      <c r="N118" s="21"/>
      <c r="P118" s="65"/>
    </row>
    <row r="119" spans="1:16" s="9" customFormat="1">
      <c r="A119" s="21"/>
      <c r="G119" s="18"/>
      <c r="H119" s="15"/>
      <c r="I119" s="18"/>
      <c r="J119" s="17"/>
      <c r="N119" s="21"/>
      <c r="P119" s="65"/>
    </row>
    <row r="120" spans="1:16" s="9" customFormat="1">
      <c r="A120" s="21"/>
      <c r="G120" s="18"/>
      <c r="H120" s="18"/>
      <c r="I120" s="18"/>
      <c r="J120" s="17"/>
      <c r="N120" s="21"/>
    </row>
    <row r="121" spans="1:16" s="9" customFormat="1">
      <c r="A121" s="21"/>
      <c r="G121" s="18"/>
      <c r="H121" s="18"/>
      <c r="I121" s="18"/>
      <c r="J121" s="17"/>
      <c r="N121" s="21"/>
    </row>
    <row r="122" spans="1:16" s="9" customFormat="1">
      <c r="A122" s="21"/>
      <c r="G122" s="18"/>
      <c r="H122" s="18"/>
      <c r="I122" s="18"/>
      <c r="N122" s="21"/>
    </row>
    <row r="123" spans="1:16" s="9" customFormat="1">
      <c r="A123" s="66"/>
      <c r="B123" s="10"/>
      <c r="G123" s="18"/>
      <c r="H123" s="18"/>
      <c r="I123" s="18"/>
      <c r="J123" s="17"/>
      <c r="K123" s="18"/>
      <c r="N123" s="21"/>
    </row>
    <row r="124" spans="1:16" s="9" customFormat="1">
      <c r="A124" s="66"/>
      <c r="B124" s="10"/>
      <c r="G124" s="18"/>
      <c r="H124" s="18"/>
      <c r="I124" s="18"/>
      <c r="J124" s="18"/>
      <c r="K124" s="18"/>
      <c r="N124" s="21"/>
    </row>
    <row r="125" spans="1:16">
      <c r="A125" s="66"/>
      <c r="G125" s="67"/>
      <c r="H125" s="67"/>
      <c r="N125" s="66"/>
    </row>
    <row r="126" spans="1:16">
      <c r="A126" s="66"/>
      <c r="G126" s="67"/>
      <c r="H126" s="67"/>
    </row>
    <row r="127" spans="1:16">
      <c r="E127" s="58"/>
      <c r="G127" s="67"/>
      <c r="H127" s="67"/>
    </row>
    <row r="128" spans="1:16">
      <c r="E128" s="58"/>
      <c r="G128" s="67"/>
      <c r="H128" s="67"/>
    </row>
  </sheetData>
  <sheetProtection algorithmName="SHA-512" hashValue="Aecz6QnyR4pG0n8Yn5Jlw+LYllPaNTVvNN8tmQVTlxYEoGhTBO+2w20GBwREqHOPJ55CuQzbsbyFZa/a9y8S/w==" saltValue="Oa8cMJfvs3K5rq/2pfjXjg==" spinCount="100000" sheet="1" objects="1" scenarios="1"/>
  <dataValidations count="18">
    <dataValidation type="decimal" allowBlank="1" showInputMessage="1" showErrorMessage="1" promptTitle="Enter Your Boiler Efficiency" prompt="Input the efficiency of your steam boiler in percent. Typical boiler efficiencies range from 60-90% depending on manufacturer's rated efficiency, age, and maintenance. _x000a_Range: 1%-100%_x000a_" sqref="B38:C38" xr:uid="{B1AF10D8-9B11-403F-9202-F37A33174D5B}">
      <formula1>0.01</formula1>
      <formula2>1</formula2>
    </dataValidation>
    <dataValidation type="decimal" allowBlank="1" showInputMessage="1" showErrorMessage="1" promptTitle="Enter SGHP COP" prompt="Enter the Coefficient of Performance for the SGHP. Check to make sure that you have plans to supply the heat source required for the heat pump and that the SGHP has a sufficient steam output (BTU or lb/hour &amp; Pressure) type for your uses._x000a_Range: 0.1 - 20_x000a_" sqref="B39:C39" xr:uid="{1A1BC642-6AB4-4566-8AAB-03E3FC7472B5}">
      <formula1>0.1</formula1>
      <formula2>20</formula2>
    </dataValidation>
    <dataValidation type="decimal" allowBlank="1" showInputMessage="1" showErrorMessage="1" promptTitle="Enter Steam Boiler Size" prompt="Enter the size of your steam boiler in Boiler Horsepower (BHP). _x000a_Range: 1-10,000 BHP" sqref="B37:C37" xr:uid="{D825FAC5-E545-4A19-9AFB-3B60CD4BE3FB}">
      <formula1>1</formula1>
      <formula2>10000</formula2>
    </dataValidation>
    <dataValidation type="decimal" allowBlank="1" showInputMessage="1" showErrorMessage="1" promptTitle="Enter Boiler Operation Hours" prompt="Enter the number of hours the steam boiler operates for the production time period._x000a_Range: 0-8760" sqref="B43:C43" xr:uid="{8735DAAC-4FD7-4DC4-A125-66A3E9ADCEDB}">
      <formula1>0</formula1>
      <formula2>8760</formula2>
    </dataValidation>
    <dataValidation type="decimal" operator="greaterThan" allowBlank="1" showInputMessage="1" showErrorMessage="1" promptTitle="Gas Meter Starting Reading" prompt="Input the starting reading for the gas meter. Consult your utility for help reading your specific meter." sqref="B22" xr:uid="{B77B2A5C-2E27-4ACF-9A1B-DCAE720582BC}">
      <formula1>0</formula1>
    </dataValidation>
    <dataValidation type="decimal" operator="greaterThan" allowBlank="1" showInputMessage="1" showErrorMessage="1" promptTitle="Gas meter ending reading" prompt="Input the gas meter reading at the end of the step you are estimating." sqref="B24" xr:uid="{1D487139-3B8B-4F22-AF06-73151B5C8B78}">
      <formula1>B22</formula1>
    </dataValidation>
    <dataValidation type="time" operator="greaterThanOrEqual" allowBlank="1" showInputMessage="1" showErrorMessage="1" promptTitle="Input start time" prompt="Input the time you started the step you are estimating." sqref="B23" xr:uid="{967BDEA2-41B5-402A-BA44-5D376EBCE0A2}">
      <formula1>0</formula1>
    </dataValidation>
    <dataValidation type="time" operator="greaterThan" allowBlank="1" showInputMessage="1" showErrorMessage="1" promptTitle="Input the end time" prompt="Input the time you finished the step you are estimating, this should also be when you read the gas meter again." sqref="B25" xr:uid="{497A996E-65DE-46BA-861C-8ACAB52DF040}">
      <formula1>B23</formula1>
    </dataValidation>
    <dataValidation type="decimal" operator="greaterThan" allowBlank="1" showInputMessage="1" showErrorMessage="1" promptTitle="Input billing or meter factor" prompt="Input either the billing factor that converts cubic feet of natural gas to therms or the meter multiplier that converts cubic feet of natual gas reading on the meter to therms. These are available from your utility or can be found on your bill or meter." sqref="B26" xr:uid="{01ABFF8D-E2D8-4AD7-A4F1-DD8A6813D021}">
      <formula1>0</formula1>
    </dataValidation>
    <dataValidation type="decimal" allowBlank="1" showInputMessage="1" showErrorMessage="1" promptTitle="Enter Percent Use" prompt="Enter what percent of the gas bill is from the water heater._x000a_Range: 0-100%" sqref="E24" xr:uid="{07136BEC-64C8-4EEB-88EE-A90D4DD2FB57}">
      <formula1>0</formula1>
      <formula2>1</formula2>
    </dataValidation>
    <dataValidation allowBlank="1" showInputMessage="1" showErrorMessage="1" promptTitle="Enter the Bill Gas Use" prompt="Enter the gas use from the bill in therms." sqref="E23" xr:uid="{3DB0C956-46AA-4647-9BCC-93390ECAF1C4}"/>
    <dataValidation allowBlank="1" showInputMessage="1" showErrorMessage="1" promptTitle="Enter Bill hours of operation" prompt="Enter the number of hours the water heater was operating for during the billing period." sqref="E22" xr:uid="{3FC7A3D1-8787-4785-B400-9E195A1654B0}"/>
    <dataValidation type="decimal" allowBlank="1" showInputMessage="1" showErrorMessage="1" promptTitle="Enter Beer Barrel Production" prompt="Enter the annual number of barrels of beer produced._x000a_Range: 0-6,000,000" sqref="B44:C44" xr:uid="{B3498BE4-5DA6-4DE7-ADBD-B9F95891D32A}">
      <formula1>0.1</formula1>
      <formula2>6000000</formula2>
    </dataValidation>
    <dataValidation allowBlank="1" showInputMessage="1" showErrorMessage="1" promptTitle="Use bill data or meter data" prompt="The average load estimate is a metric used to demonstrate how heavily or lightly loaded a piece of equipment is relative to it's rated output capacity." sqref="A19" xr:uid="{C61B358B-D793-4B17-87B9-F8EA005AE15D}"/>
    <dataValidation allowBlank="1" showInputMessage="1" showErrorMessage="1" prompt="Input the first three values below to determine average load estimate" sqref="D21" xr:uid="{C3EC1EDC-F947-4DEB-8E89-862EC150F28A}"/>
    <dataValidation allowBlank="1" showInputMessage="1" showErrorMessage="1" prompt="First, safely turn off all gas using appliances. Read gas meter to the smallest unit, then write down your starting time. Perform the step you are trying to estimate (such as HLT heating), then read gas meter smallest unit again. Write down ending time. " sqref="A21" xr:uid="{2899D880-F3A1-4B0A-BE75-3D4FB1D41ED8}"/>
    <dataValidation allowBlank="1" showInputMessage="1" showErrorMessage="1" prompt="Billing factor or meter multiplier to convert from cubic feet to therms. _x000a_" sqref="A26" xr:uid="{D4D4DC8F-B343-4B24-BA76-7221275E75E5}"/>
    <dataValidation allowBlank="1" showInputMessage="1" showErrorMessage="1" prompt="% of gas use that can be attributed to steam boiler " sqref="D24" xr:uid="{9D4AE1F6-AC18-4A1A-AE4B-9F59DB815AD3}"/>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Title="Production time period" prompt="Select the time period to evaluate over" xr:uid="{1F03A5C8-0F00-48C4-9C64-2B7A418B5C8C}">
          <x14:formula1>
            <xm:f>Reference!$B$58:$B$60</xm:f>
          </x14:formula1>
          <xm:sqref>B42:C42</xm:sqref>
        </x14:dataValidation>
        <x14:dataValidation type="list" allowBlank="1" showInputMessage="1" showErrorMessage="1" promptTitle="Select Load Factor Value Source" prompt="Select the load factor value source._x000a_Standard Estimate: 50%_x000a_Bill Data Calculation Estimate_x000a_Meter Data Calculation Estimate" xr:uid="{3B973255-F860-40CB-8B1E-6013BF15DDEC}">
          <x14:formula1>
            <xm:f>Reference!$B$63:$B$65</xm:f>
          </x14:formula1>
          <xm:sqref>B45:C45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272BC-13CB-4BFB-9CE8-C73056601489}">
  <sheetPr codeName="Sheet8">
    <tabColor rgb="FFFF0000"/>
  </sheetPr>
  <dimension ref="A1:W128"/>
  <sheetViews>
    <sheetView topLeftCell="A19" zoomScaleNormal="100" workbookViewId="0">
      <selection activeCell="G31" sqref="G31"/>
    </sheetView>
  </sheetViews>
  <sheetFormatPr defaultColWidth="8.85546875" defaultRowHeight="15"/>
  <cols>
    <col min="1" max="1" width="40.85546875" style="10" customWidth="1"/>
    <col min="2" max="2" width="21.85546875" style="10" customWidth="1"/>
    <col min="3" max="3" width="25.42578125" style="10" bestFit="1" customWidth="1"/>
    <col min="4" max="4" width="38.42578125" style="10" customWidth="1"/>
    <col min="5" max="5" width="29.42578125" style="10" bestFit="1" customWidth="1"/>
    <col min="6" max="6" width="18.42578125" style="10" customWidth="1"/>
    <col min="7" max="7" width="25.42578125" style="10" bestFit="1" customWidth="1"/>
    <col min="8" max="8" width="26.140625" style="10" customWidth="1"/>
    <col min="9" max="9" width="15.5703125" style="10" bestFit="1" customWidth="1"/>
    <col min="10" max="10" width="47.28515625" style="10" bestFit="1" customWidth="1"/>
    <col min="11" max="12" width="8.85546875" style="10"/>
    <col min="13" max="13" width="13.5703125" style="10" bestFit="1" customWidth="1"/>
    <col min="14" max="19" width="8.85546875" style="10"/>
    <col min="20" max="20" width="10.5703125" style="10" customWidth="1"/>
    <col min="21" max="21" width="8.85546875" style="10"/>
    <col min="22" max="22" width="12.5703125" style="10" customWidth="1"/>
    <col min="23" max="24" width="8.85546875" style="10"/>
    <col min="25" max="25" width="12.5703125" style="10" customWidth="1"/>
    <col min="26" max="16384" width="8.85546875" style="10"/>
  </cols>
  <sheetData>
    <row r="1" spans="1:9" s="11" customFormat="1" ht="34.5">
      <c r="A1" s="4" t="s">
        <v>0</v>
      </c>
      <c r="B1" s="5"/>
      <c r="E1" s="5"/>
      <c r="I1" s="5"/>
    </row>
    <row r="2" spans="1:9" s="11" customFormat="1" ht="20.100000000000001">
      <c r="A2" s="6" t="s">
        <v>12</v>
      </c>
    </row>
    <row r="3" spans="1:9" s="11" customFormat="1"/>
    <row r="4" spans="1:9" s="9" customFormat="1"/>
    <row r="5" spans="1:9" s="9" customFormat="1"/>
    <row r="6" spans="1:9" s="9" customFormat="1"/>
    <row r="7" spans="1:9" s="9" customFormat="1"/>
    <row r="8" spans="1:9" s="9" customFormat="1"/>
    <row r="9" spans="1:9" s="9" customFormat="1"/>
    <row r="10" spans="1:9" s="9" customFormat="1"/>
    <row r="11" spans="1:9" s="9" customFormat="1"/>
    <row r="12" spans="1:9" s="9" customFormat="1"/>
    <row r="13" spans="1:9" s="9" customFormat="1" ht="23.1" thickBot="1">
      <c r="A13" s="201" t="s">
        <v>22</v>
      </c>
    </row>
    <row r="14" spans="1:9" s="9" customFormat="1" ht="15.6" thickTop="1">
      <c r="A14" s="61" t="str">
        <f>'Comparison Calcs'!B25</f>
        <v>User Input</v>
      </c>
    </row>
    <row r="15" spans="1:9" s="9" customFormat="1">
      <c r="A15" s="161" t="str">
        <f>'Comparison Calcs'!B26</f>
        <v>Intermediate Calculated Value</v>
      </c>
    </row>
    <row r="16" spans="1:9" s="9" customFormat="1">
      <c r="A16" s="162" t="str">
        <f>'Comparison Calcs'!B27</f>
        <v>Output Calculation result</v>
      </c>
    </row>
    <row r="17" spans="1:23" s="9" customFormat="1">
      <c r="A17" s="68" t="str">
        <f>'Comparison Calcs'!B28</f>
        <v>Final output</v>
      </c>
    </row>
    <row r="18" spans="1:23" s="9" customFormat="1">
      <c r="A18" s="160"/>
    </row>
    <row r="19" spans="1:23" s="9" customFormat="1"/>
    <row r="20" spans="1:23" s="9" customFormat="1" ht="23.1" thickBot="1">
      <c r="A20" s="71" t="s">
        <v>327</v>
      </c>
    </row>
    <row r="21" spans="1:23" s="9" customFormat="1" ht="15.6" thickTop="1"/>
    <row r="22" spans="1:23" s="9" customFormat="1" ht="18.95">
      <c r="A22" s="97" t="s">
        <v>359</v>
      </c>
      <c r="D22" s="98" t="s">
        <v>372</v>
      </c>
    </row>
    <row r="23" spans="1:23">
      <c r="A23" s="25" t="s">
        <v>360</v>
      </c>
      <c r="B23" s="222">
        <f>'Comparison Calcs'!D67</f>
        <v>180</v>
      </c>
      <c r="C23" s="9"/>
      <c r="D23" s="25" t="s">
        <v>360</v>
      </c>
      <c r="E23" s="222">
        <f>'Comparison Calcs'!D71</f>
        <v>170</v>
      </c>
      <c r="F23" s="9"/>
      <c r="G23" s="9"/>
      <c r="H23" s="9"/>
      <c r="I23" s="9"/>
      <c r="J23" s="9"/>
      <c r="K23" s="9"/>
      <c r="L23" s="9"/>
      <c r="M23" s="9"/>
      <c r="N23" s="9"/>
      <c r="O23" s="9"/>
      <c r="P23" s="9"/>
      <c r="Q23" s="9"/>
      <c r="R23" s="9"/>
      <c r="S23" s="9"/>
      <c r="T23" s="9"/>
      <c r="U23" s="9"/>
      <c r="V23" s="9"/>
      <c r="W23" s="9"/>
    </row>
    <row r="24" spans="1:23">
      <c r="A24" s="25" t="s">
        <v>363</v>
      </c>
      <c r="B24" s="222">
        <f>'Comparison Calcs'!D68</f>
        <v>200</v>
      </c>
      <c r="C24" s="21"/>
      <c r="D24" s="27" t="s">
        <v>375</v>
      </c>
      <c r="E24" s="223">
        <f>'Comparison Calcs'!D72</f>
        <v>100</v>
      </c>
      <c r="F24" s="9"/>
      <c r="G24" s="9"/>
      <c r="H24" s="9"/>
      <c r="I24" s="9"/>
      <c r="J24" s="9"/>
      <c r="K24" s="9"/>
      <c r="L24" s="9"/>
      <c r="M24" s="9"/>
      <c r="N24" s="9"/>
      <c r="O24" s="9"/>
      <c r="P24" s="9"/>
      <c r="Q24" s="9"/>
      <c r="R24" s="9"/>
      <c r="S24" s="9"/>
      <c r="T24" s="9"/>
      <c r="U24" s="9"/>
      <c r="V24" s="9"/>
      <c r="W24" s="9"/>
    </row>
    <row r="25" spans="1:23">
      <c r="A25" s="9"/>
      <c r="B25" s="9"/>
      <c r="C25" s="21"/>
      <c r="D25" s="14"/>
      <c r="E25" s="9"/>
      <c r="F25" s="9"/>
      <c r="G25" s="9"/>
      <c r="H25" s="9"/>
      <c r="I25" s="9"/>
      <c r="J25" s="9"/>
      <c r="K25" s="9"/>
      <c r="L25" s="9"/>
      <c r="M25" s="9"/>
      <c r="N25" s="9"/>
      <c r="O25" s="9"/>
      <c r="P25" s="9"/>
      <c r="Q25" s="9"/>
      <c r="R25" s="9"/>
      <c r="S25" s="9"/>
      <c r="T25" s="9"/>
      <c r="U25" s="9"/>
      <c r="V25" s="9"/>
      <c r="W25" s="9"/>
    </row>
    <row r="26" spans="1:23">
      <c r="A26" s="14"/>
      <c r="B26" s="37"/>
      <c r="C26" s="21"/>
      <c r="D26" s="14"/>
      <c r="E26" s="9"/>
      <c r="F26" s="9"/>
      <c r="G26" s="9"/>
      <c r="H26" s="9"/>
      <c r="I26" s="9"/>
      <c r="J26" s="9"/>
      <c r="K26" s="9"/>
      <c r="L26" s="9"/>
      <c r="M26" s="9"/>
      <c r="N26" s="9"/>
      <c r="O26" s="9"/>
      <c r="P26" s="9"/>
      <c r="Q26" s="9"/>
      <c r="R26" s="9"/>
      <c r="S26" s="9"/>
      <c r="T26" s="9"/>
      <c r="U26" s="9"/>
      <c r="V26" s="9"/>
      <c r="W26" s="9"/>
    </row>
    <row r="27" spans="1:23" ht="18.95">
      <c r="A27" s="97" t="s">
        <v>365</v>
      </c>
      <c r="C27" s="15"/>
      <c r="D27" s="25" t="s">
        <v>474</v>
      </c>
      <c r="E27" s="167">
        <f>heat_source_Ending_Temperature__°F</f>
        <v>150.00000000000009</v>
      </c>
      <c r="F27" s="9"/>
      <c r="G27" s="9"/>
      <c r="H27" s="9"/>
      <c r="I27" s="9"/>
      <c r="J27" s="9"/>
      <c r="K27" s="9"/>
      <c r="L27" s="9"/>
      <c r="M27" s="9"/>
      <c r="N27" s="9"/>
      <c r="O27" s="9"/>
      <c r="P27" s="9"/>
      <c r="Q27" s="9"/>
      <c r="R27" s="9"/>
      <c r="S27" s="9"/>
      <c r="T27" s="9"/>
      <c r="U27" s="9"/>
      <c r="V27" s="9"/>
      <c r="W27" s="9"/>
    </row>
    <row r="28" spans="1:23">
      <c r="A28" s="25" t="s">
        <v>475</v>
      </c>
      <c r="B28" s="223">
        <f>'Comparison Calcs'!D69</f>
        <v>100</v>
      </c>
      <c r="C28" s="21"/>
      <c r="D28" s="9"/>
      <c r="E28" s="9"/>
      <c r="F28" s="9"/>
      <c r="G28" s="9"/>
      <c r="H28" s="9"/>
      <c r="I28" s="9"/>
      <c r="J28" s="9"/>
      <c r="K28" s="9"/>
      <c r="L28" s="9"/>
      <c r="M28" s="9"/>
      <c r="N28" s="9"/>
      <c r="O28" s="9"/>
      <c r="P28" s="9"/>
      <c r="Q28" s="9"/>
      <c r="R28" s="9"/>
      <c r="S28" s="9"/>
      <c r="T28" s="9"/>
      <c r="U28" s="9"/>
      <c r="V28" s="9"/>
      <c r="W28" s="9"/>
    </row>
    <row r="29" spans="1:23">
      <c r="A29" s="25" t="s">
        <v>70</v>
      </c>
      <c r="B29" s="219">
        <f>'Comparison Calcs'!D70</f>
        <v>60</v>
      </c>
      <c r="C29" s="21"/>
      <c r="D29" s="9"/>
      <c r="E29" s="9"/>
      <c r="F29" s="9"/>
      <c r="G29" s="9"/>
      <c r="H29" s="9"/>
      <c r="I29" s="9"/>
      <c r="J29" s="9"/>
      <c r="K29" s="22"/>
      <c r="L29" s="9"/>
      <c r="M29" s="9"/>
      <c r="N29" s="9"/>
      <c r="O29" s="9"/>
      <c r="P29" s="9"/>
      <c r="Q29" s="9"/>
      <c r="R29" s="9"/>
      <c r="S29" s="9"/>
      <c r="T29" s="9"/>
      <c r="U29" s="9"/>
      <c r="V29" s="9"/>
      <c r="W29" s="9"/>
    </row>
    <row r="30" spans="1:23">
      <c r="B30" s="9"/>
      <c r="C30" s="21"/>
      <c r="D30" s="9"/>
      <c r="E30" s="9"/>
      <c r="F30" s="9"/>
      <c r="G30" s="9"/>
      <c r="H30" s="9"/>
      <c r="I30" s="9"/>
      <c r="J30" s="9"/>
      <c r="K30" s="9"/>
      <c r="L30" s="9"/>
      <c r="M30" s="9"/>
      <c r="N30" s="9"/>
      <c r="O30" s="9"/>
      <c r="P30" s="9"/>
      <c r="Q30" s="9"/>
      <c r="R30" s="9"/>
      <c r="S30" s="9"/>
      <c r="T30" s="9"/>
      <c r="U30" s="9"/>
      <c r="V30" s="9"/>
      <c r="W30" s="9"/>
    </row>
    <row r="31" spans="1:23" ht="18.95">
      <c r="A31" s="97" t="s">
        <v>328</v>
      </c>
      <c r="C31" s="9"/>
      <c r="D31" s="9"/>
      <c r="E31" s="9"/>
      <c r="F31" s="9"/>
      <c r="G31" s="9"/>
      <c r="H31" s="9"/>
      <c r="I31" s="9"/>
      <c r="J31" s="9"/>
      <c r="K31" s="9"/>
      <c r="L31" s="9"/>
      <c r="M31" s="9"/>
      <c r="N31" s="9"/>
      <c r="O31" s="9"/>
      <c r="P31" s="9"/>
      <c r="Q31" s="9"/>
      <c r="R31" s="9"/>
      <c r="S31" s="9"/>
      <c r="T31" s="9"/>
      <c r="U31" s="9"/>
      <c r="V31" s="9"/>
      <c r="W31" s="9"/>
    </row>
    <row r="32" spans="1:23">
      <c r="A32" s="25" t="s">
        <v>466</v>
      </c>
      <c r="B32" s="223">
        <f>'Comparison Calcs'!D66</f>
        <v>2000</v>
      </c>
      <c r="C32" s="15"/>
      <c r="D32" s="9"/>
      <c r="E32" s="9"/>
      <c r="F32" s="9"/>
      <c r="G32" s="9"/>
      <c r="H32" s="9"/>
      <c r="I32" s="9"/>
      <c r="J32" s="9"/>
      <c r="K32" s="9"/>
      <c r="L32" s="9"/>
      <c r="M32" s="9"/>
      <c r="N32" s="9"/>
      <c r="O32" s="9"/>
      <c r="P32" s="9"/>
      <c r="Q32" s="9"/>
      <c r="R32" s="9"/>
      <c r="S32" s="9"/>
      <c r="T32" s="9"/>
      <c r="U32" s="9"/>
      <c r="V32" s="9"/>
      <c r="W32" s="9"/>
    </row>
    <row r="33" spans="1:23" s="9" customFormat="1"/>
    <row r="34" spans="1:23" s="9" customFormat="1">
      <c r="R34" s="18"/>
    </row>
    <row r="35" spans="1:23">
      <c r="A35" s="9"/>
      <c r="C35" s="9"/>
      <c r="D35" s="9"/>
      <c r="E35" s="9"/>
      <c r="F35" s="9"/>
      <c r="G35" s="9"/>
      <c r="H35" s="9"/>
      <c r="I35" s="9"/>
      <c r="J35" s="9"/>
      <c r="K35" s="9"/>
      <c r="L35" s="9"/>
      <c r="M35" s="9"/>
      <c r="N35" s="9"/>
      <c r="O35" s="9"/>
      <c r="P35" s="9"/>
      <c r="Q35" s="9"/>
      <c r="R35" s="9"/>
      <c r="S35" s="9"/>
      <c r="T35" s="9"/>
      <c r="U35" s="9"/>
      <c r="V35" s="9"/>
      <c r="W35" s="9"/>
    </row>
    <row r="36" spans="1:23" s="9" customFormat="1" ht="23.1" thickBot="1">
      <c r="A36" s="71" t="s">
        <v>345</v>
      </c>
    </row>
    <row r="37" spans="1:23" s="9" customFormat="1" ht="15.6" thickTop="1"/>
    <row r="38" spans="1:23" s="9" customFormat="1" ht="18" thickBot="1">
      <c r="A38" s="72" t="s">
        <v>476</v>
      </c>
      <c r="B38" s="72"/>
      <c r="C38" s="72"/>
      <c r="D38" s="46"/>
      <c r="E38" s="46"/>
    </row>
    <row r="39" spans="1:23" s="9" customFormat="1" ht="15.6" thickTop="1">
      <c r="A39" s="15"/>
      <c r="B39" s="17" t="s">
        <v>38</v>
      </c>
      <c r="C39" s="18"/>
      <c r="D39" s="150"/>
      <c r="E39" s="152"/>
    </row>
    <row r="40" spans="1:23" s="9" customFormat="1">
      <c r="A40" s="26" t="s">
        <v>45</v>
      </c>
      <c r="B40" s="93">
        <f>heat_sink_Total_Energy__kJ/kJ_per_therm/steam_efficiency</f>
        <v>9.8139563555369431</v>
      </c>
      <c r="C40" s="18"/>
      <c r="D40" s="151"/>
      <c r="E40" s="153"/>
    </row>
    <row r="41" spans="1:23" s="9" customFormat="1">
      <c r="A41" s="26" t="s">
        <v>49</v>
      </c>
      <c r="B41" s="57">
        <f>W_in__kW*heat_sink_calculated_Time_minutes/60</f>
        <v>35.353736370857362</v>
      </c>
      <c r="C41" s="20"/>
    </row>
    <row r="42" spans="1:23" s="9" customFormat="1"/>
    <row r="43" spans="1:23" s="9" customFormat="1">
      <c r="A43" s="13"/>
      <c r="B43" s="19" t="s">
        <v>54</v>
      </c>
      <c r="C43" s="18"/>
      <c r="D43" s="19"/>
      <c r="E43" s="19" t="s">
        <v>92</v>
      </c>
    </row>
    <row r="44" spans="1:23" s="9" customFormat="1">
      <c r="A44" s="26" t="s">
        <v>45</v>
      </c>
      <c r="B44" s="204">
        <f>Natural_gas_therm*Reference!$C$22</f>
        <v>52.072852422479023</v>
      </c>
      <c r="C44" s="18"/>
      <c r="D44" s="29" t="s">
        <v>45</v>
      </c>
      <c r="E44" s="94">
        <f>Natural_gas_therm*NG_Cost_per_therm</f>
        <v>13.935818024862458</v>
      </c>
    </row>
    <row r="45" spans="1:23" s="9" customFormat="1">
      <c r="A45" s="26" t="s">
        <v>49</v>
      </c>
      <c r="B45" s="204">
        <f>B41*Reference!$C$20</f>
        <v>8.5264373692415241</v>
      </c>
      <c r="C45" s="18"/>
      <c r="D45" s="29" t="s">
        <v>49</v>
      </c>
      <c r="E45" s="94">
        <f>B41*Reference!$C$26</f>
        <v>8.4848967290057669</v>
      </c>
    </row>
    <row r="46" spans="1:23" s="9" customFormat="1">
      <c r="A46" s="13"/>
      <c r="B46" s="152"/>
      <c r="C46" s="18"/>
      <c r="D46" s="150"/>
      <c r="E46" s="202"/>
    </row>
    <row r="47" spans="1:23" s="9" customFormat="1">
      <c r="A47" s="13"/>
      <c r="B47" s="152"/>
      <c r="C47" s="18"/>
      <c r="D47" s="150"/>
      <c r="E47" s="202"/>
    </row>
    <row r="48" spans="1:23" s="9" customFormat="1"/>
    <row r="49" spans="1:15" s="9" customFormat="1" ht="18" thickBot="1">
      <c r="A49" s="72" t="s">
        <v>457</v>
      </c>
      <c r="B49" s="72"/>
      <c r="C49" s="72"/>
    </row>
    <row r="50" spans="1:15" s="9" customFormat="1" ht="15.6" thickTop="1">
      <c r="B50" s="16" t="s">
        <v>477</v>
      </c>
      <c r="C50" s="16" t="s">
        <v>62</v>
      </c>
    </row>
    <row r="51" spans="1:15" s="9" customFormat="1">
      <c r="A51" s="26" t="s">
        <v>336</v>
      </c>
      <c r="B51" s="55">
        <f>Natural_gas_therm/heat_sink_Hot_Water_Volume__bbl</f>
        <v>9.813956355536943E-2</v>
      </c>
      <c r="C51" s="56">
        <f>B41/heat_sink_Hot_Water_Volume__bbl</f>
        <v>0.35353736370857364</v>
      </c>
    </row>
    <row r="52" spans="1:15" s="9" customFormat="1">
      <c r="A52" s="26" t="s">
        <v>339</v>
      </c>
      <c r="B52" s="30">
        <f>E44/heat_sink_Hot_Water_Volume__bbl</f>
        <v>0.13935818024862459</v>
      </c>
      <c r="C52" s="30">
        <f>E45/heat_sink_Hot_Water_Volume__bbl</f>
        <v>8.484896729005767E-2</v>
      </c>
    </row>
    <row r="53" spans="1:15" s="9" customFormat="1"/>
    <row r="54" spans="1:15" s="9" customFormat="1" ht="18" thickBot="1">
      <c r="A54" s="72" t="s">
        <v>458</v>
      </c>
      <c r="O54" s="18"/>
    </row>
    <row r="55" spans="1:15" s="9" customFormat="1" ht="15.6" thickTop="1">
      <c r="A55" s="10"/>
      <c r="B55" s="16" t="s">
        <v>477</v>
      </c>
      <c r="C55" s="16" t="s">
        <v>62</v>
      </c>
    </row>
    <row r="56" spans="1:15" s="9" customFormat="1">
      <c r="A56" s="26" t="s">
        <v>343</v>
      </c>
      <c r="B56" s="154">
        <f>B51*B32</f>
        <v>196.27912711073887</v>
      </c>
      <c r="C56" s="155">
        <f>C51*B32</f>
        <v>707.0747274171473</v>
      </c>
    </row>
    <row r="57" spans="1:15" s="9" customFormat="1">
      <c r="A57" s="26" t="s">
        <v>378</v>
      </c>
      <c r="B57" s="30">
        <f>B52*B32</f>
        <v>278.71636049724918</v>
      </c>
      <c r="C57" s="30">
        <f>C52*B32</f>
        <v>169.69793458011534</v>
      </c>
    </row>
    <row r="58" spans="1:15" s="9" customFormat="1">
      <c r="A58" s="26" t="s">
        <v>478</v>
      </c>
      <c r="B58" s="203">
        <f>B56*Reference!$C$22</f>
        <v>1041.4570484495805</v>
      </c>
      <c r="C58" s="203">
        <f>C56*Reference!$C$20</f>
        <v>170.5287473848305</v>
      </c>
    </row>
    <row r="59" spans="1:15" s="9" customFormat="1">
      <c r="D59" s="21"/>
    </row>
    <row r="60" spans="1:15" s="9" customFormat="1"/>
    <row r="61" spans="1:15" s="9" customFormat="1"/>
    <row r="62" spans="1:15" s="9" customFormat="1" ht="23.45" thickBot="1">
      <c r="A62" s="71" t="s">
        <v>468</v>
      </c>
      <c r="B62" s="89"/>
    </row>
    <row r="63" spans="1:15" s="9" customFormat="1" ht="15.6" thickTop="1"/>
    <row r="64" spans="1:15" s="9" customFormat="1">
      <c r="A64" s="13" t="s">
        <v>381</v>
      </c>
      <c r="D64" s="13" t="s">
        <v>407</v>
      </c>
      <c r="G64" s="16" t="s">
        <v>62</v>
      </c>
    </row>
    <row r="65" spans="1:8" s="9" customFormat="1">
      <c r="A65" s="35" t="s">
        <v>130</v>
      </c>
      <c r="B65" s="35" t="s">
        <v>73</v>
      </c>
      <c r="D65" s="35" t="s">
        <v>130</v>
      </c>
      <c r="E65" s="35" t="s">
        <v>73</v>
      </c>
      <c r="G65" s="35" t="s">
        <v>130</v>
      </c>
      <c r="H65" s="35" t="s">
        <v>73</v>
      </c>
    </row>
    <row r="66" spans="1:8" s="9" customFormat="1">
      <c r="A66" s="28" t="s">
        <v>479</v>
      </c>
      <c r="B66" s="34">
        <f>(B67-32)*5/9</f>
        <v>82.222222222222229</v>
      </c>
      <c r="D66" s="28" t="s">
        <v>479</v>
      </c>
      <c r="E66" s="32">
        <f>(Cooling_Starting_Water_Temperature__°F-32)*5/9</f>
        <v>76.666666666666671</v>
      </c>
      <c r="G66" s="36" t="s">
        <v>479</v>
      </c>
      <c r="H66" s="52">
        <f>heat_source_Ending_Temperature__°C-HP_approach_temp</f>
        <v>54.444555555555596</v>
      </c>
    </row>
    <row r="67" spans="1:8" s="9" customFormat="1">
      <c r="A67" s="28" t="s">
        <v>480</v>
      </c>
      <c r="B67" s="31" cm="1">
        <f t="array" ref="B67">_xlfn.IFS(ISNUMBER(Heating_Starting_Water_Temperature__°F), Heating_Starting_Water_Temperature__°F, ISBLANK(Heating_Starting_Water_Temperature__°F),Heating_Desired_Water_Temperature__°F-Temperature_Difference__°F)</f>
        <v>180</v>
      </c>
      <c r="D67" s="28" t="s">
        <v>481</v>
      </c>
      <c r="E67" s="24">
        <f>(Cooled_Water_Volume__bbl*Reference!C37)/Time__minutes</f>
        <v>51.666666666666664</v>
      </c>
      <c r="G67" s="36" t="s">
        <v>482</v>
      </c>
      <c r="H67" s="52">
        <f>Heat_sink_Temp_out+HP_approach_temp</f>
        <v>104.44433333333333</v>
      </c>
    </row>
    <row r="68" spans="1:8" s="9" customFormat="1">
      <c r="A68" s="28" t="s">
        <v>482</v>
      </c>
      <c r="B68" s="34">
        <f>(B69-32)*5/9</f>
        <v>93.333333333333329</v>
      </c>
      <c r="D68" s="28" t="s">
        <v>483</v>
      </c>
      <c r="E68" s="84">
        <f>Cooled_Water_Volume__bbl*Reference!$C$36</f>
        <v>11734.8</v>
      </c>
      <c r="G68" s="36" t="s">
        <v>422</v>
      </c>
      <c r="H68" s="52">
        <f>(heat_pump_T_out__°C+K_to_C)/(heat_pump_T_out__°C-heat_pump_T_in__°C)</f>
        <v>7.5519202307565871</v>
      </c>
    </row>
    <row r="69" spans="1:8" s="9" customFormat="1">
      <c r="A69" s="28" t="s">
        <v>484</v>
      </c>
      <c r="B69" s="31" cm="1">
        <f t="array" ref="B69">_xlfn.IFS(ISNUMBER(Heating_Desired_Water_Temperature__°F),Heating_Desired_Water_Temperature__°F,ISBLANK(Heating_Desired_Water_Temperature__°F),Heating_Starting_Water_Temperature__°F+Temperature_Difference__°F)</f>
        <v>200</v>
      </c>
      <c r="D69" s="36" t="s">
        <v>485</v>
      </c>
      <c r="E69" s="32">
        <f>heat_source_Total_Mass__kg*(heat_source_T_in__°C+K_to_C)*Cp_H2O</f>
        <v>17175439.74608</v>
      </c>
      <c r="G69" s="36" t="s">
        <v>212</v>
      </c>
      <c r="H69" s="52">
        <f>H68*Actual_COP_percent_of_ideal</f>
        <v>5.2863441615296107</v>
      </c>
    </row>
    <row r="70" spans="1:8" s="9" customFormat="1">
      <c r="A70" s="28" t="s">
        <v>486</v>
      </c>
      <c r="B70" s="54">
        <f>heat_sink_delta_T°F*5/9</f>
        <v>11.111111111111111</v>
      </c>
      <c r="C70" s="18"/>
      <c r="D70" s="36" t="s">
        <v>487</v>
      </c>
      <c r="E70" s="24">
        <f>heat_source_Starting_energy-heat_sink_Total_Energy__kJ</f>
        <v>16629901.932746667</v>
      </c>
      <c r="G70" s="36" t="s">
        <v>488</v>
      </c>
      <c r="H70" s="84">
        <f>heat_sink_Q_in__kW__kJ_s/(COP_estimate-1)</f>
        <v>35.353736370857362</v>
      </c>
    </row>
    <row r="71" spans="1:8" s="9" customFormat="1">
      <c r="A71" s="28" t="s">
        <v>489</v>
      </c>
      <c r="B71" s="31" cm="1">
        <f t="array" ref="B71">_xlfn.IFS(ISNUMBER(Temperature_Difference__°F),Temperature_Difference__°F,ISBLANK(Temperature_Difference__°F),Heating_Desired_Water_Temperature__°F-Heating_Starting_Water_Temperature__°F)</f>
        <v>20</v>
      </c>
      <c r="C71" s="18"/>
      <c r="D71" s="28" t="s">
        <v>490</v>
      </c>
      <c r="E71" s="24">
        <f>heat_source_Ending_Energy/(heat_source_Total_Mass__kg*Cp_H2O)-K_to_C</f>
        <v>65.5555555555556</v>
      </c>
      <c r="G71" s="36" t="s">
        <v>491</v>
      </c>
      <c r="H71" s="84">
        <f>W_in__kW+heat_sink_Q_in__kW__kJ_s</f>
        <v>186.89201785233888</v>
      </c>
    </row>
    <row r="72" spans="1:8" s="9" customFormat="1">
      <c r="A72" s="28" t="s">
        <v>492</v>
      </c>
      <c r="B72" s="31" cm="1">
        <f t="array" ref="B72">_xlfn.IFS(ISNUMBER(heat_sink_Hot_Water_Volume__bbl),heat_sink_Hot_Water_Volume__bbl,ISBLANK(heat_sink_Hot_Water_Volume__bbl),heat_sink_Flow_rate__gpm*Time__minutes*Reference!C35/Reference!C36)</f>
        <v>100</v>
      </c>
      <c r="D72" s="28" t="s">
        <v>493</v>
      </c>
      <c r="E72" s="24">
        <f>heat_source_Ending_Temperature__°C*(9/5)+32</f>
        <v>150.00000000000009</v>
      </c>
    </row>
    <row r="73" spans="1:8" s="9" customFormat="1">
      <c r="A73" s="28" t="s">
        <v>70</v>
      </c>
      <c r="B73" s="33" cm="1">
        <f t="array" ref="B73">_xlfn.IFS(ISNUMBER(Time__minutes),Time__minutes,ISBLANK(Time__minutes),heat_sink_Hot_Water_Volume__bbl/heat_sink_Flow_rate__gpm*Reference!C36/Reference!C35)</f>
        <v>60</v>
      </c>
      <c r="F73" s="18"/>
      <c r="G73" s="17"/>
    </row>
    <row r="74" spans="1:8" s="9" customFormat="1">
      <c r="A74" s="28" t="s">
        <v>481</v>
      </c>
      <c r="B74" s="52" cm="1">
        <f t="array" ref="B74">_xlfn.IFS(ISNUMBER(heat_sink_Flow_rate__gpm),heat_sink_Flow_rate__gpm,ISBLANK(heat_sink_Flow_rate__gpm),heat_sink_Hot_Water_Volume__bbl/Time__minutes*Reference!C36/Reference!C35)</f>
        <v>51.666794349885485</v>
      </c>
      <c r="D74" s="18"/>
      <c r="E74" s="18"/>
      <c r="F74" s="18"/>
      <c r="G74" s="18"/>
    </row>
    <row r="75" spans="1:8" s="9" customFormat="1">
      <c r="A75" s="28" t="s">
        <v>494</v>
      </c>
      <c r="B75" s="85">
        <f>heat_sink_calculated_flow_rate_gpm*Reference!C35</f>
        <v>195.58</v>
      </c>
      <c r="D75" s="18"/>
      <c r="E75" s="18"/>
      <c r="F75" s="18"/>
      <c r="G75" s="18"/>
    </row>
    <row r="76" spans="1:8" s="9" customFormat="1">
      <c r="A76" s="28" t="s">
        <v>483</v>
      </c>
      <c r="B76" s="84">
        <f>heat_sink_total_volume_bbl*liters_per_barrel</f>
        <v>11734.8</v>
      </c>
      <c r="D76" s="18"/>
      <c r="E76" s="18"/>
      <c r="F76" s="18"/>
    </row>
    <row r="77" spans="1:8" s="9" customFormat="1">
      <c r="A77" s="28" t="s">
        <v>495</v>
      </c>
      <c r="B77" s="33">
        <f>heat_sink_Flow_Rate__lpm/60</f>
        <v>3.2596666666666669</v>
      </c>
      <c r="D77" s="18"/>
    </row>
    <row r="78" spans="1:8" s="9" customFormat="1">
      <c r="A78" s="28" t="s">
        <v>496</v>
      </c>
      <c r="B78" s="84">
        <f>heat_sink_Mass_flow__kg_s*heat_sinkdelta_T*Cp_H2O</f>
        <v>151.5382814814815</v>
      </c>
    </row>
    <row r="79" spans="1:8" s="9" customFormat="1">
      <c r="A79" s="28" t="s">
        <v>497</v>
      </c>
      <c r="B79" s="84">
        <f>heat_sink_total_mass_kg*heat_sinkdelta_T*Cp_H2O</f>
        <v>545537.81333333335</v>
      </c>
    </row>
    <row r="80" spans="1:8" s="9" customFormat="1"/>
    <row r="81" spans="1:11" s="9" customFormat="1"/>
    <row r="82" spans="1:11" s="9" customFormat="1"/>
    <row r="83" spans="1:11" s="9" customFormat="1"/>
    <row r="84" spans="1:11" s="9" customFormat="1">
      <c r="A84" s="14"/>
      <c r="B84" s="16"/>
      <c r="C84" s="17"/>
      <c r="J84" s="10"/>
      <c r="K84" s="10"/>
    </row>
    <row r="85" spans="1:11" s="9" customFormat="1">
      <c r="A85" s="13"/>
      <c r="C85" s="17"/>
    </row>
    <row r="86" spans="1:11" s="9" customFormat="1">
      <c r="A86" s="13"/>
      <c r="C86" s="17"/>
    </row>
    <row r="87" spans="1:11" s="9" customFormat="1">
      <c r="C87" s="17"/>
    </row>
    <row r="88" spans="1:11" s="9" customFormat="1">
      <c r="C88" s="17"/>
    </row>
    <row r="89" spans="1:11" s="9" customFormat="1">
      <c r="C89" s="17"/>
    </row>
    <row r="90" spans="1:11" s="9" customFormat="1"/>
    <row r="91" spans="1:11" s="9" customFormat="1">
      <c r="C91" s="17"/>
    </row>
    <row r="92" spans="1:11">
      <c r="C92" s="18"/>
      <c r="D92" s="9"/>
      <c r="E92" s="9"/>
      <c r="F92" s="9"/>
      <c r="G92" s="9"/>
      <c r="I92" s="9"/>
      <c r="J92" s="9"/>
      <c r="K92" s="9"/>
    </row>
    <row r="93" spans="1:11" s="9" customFormat="1"/>
    <row r="94" spans="1:11" s="9" customFormat="1"/>
    <row r="95" spans="1:11" s="9" customFormat="1"/>
    <row r="96" spans="1:11" s="9" customFormat="1"/>
    <row r="97" s="9" customFormat="1"/>
    <row r="98" s="9" customFormat="1"/>
    <row r="99" s="9" customFormat="1"/>
    <row r="100" s="9" customFormat="1"/>
    <row r="101" s="9" customFormat="1"/>
    <row r="102" s="9" customFormat="1"/>
    <row r="103" s="9" customFormat="1"/>
    <row r="104" s="9" customFormat="1"/>
    <row r="105" s="9" customFormat="1"/>
    <row r="106" s="9" customFormat="1"/>
    <row r="107" s="9" customFormat="1"/>
    <row r="108" s="9" customFormat="1"/>
    <row r="109" s="9" customFormat="1"/>
    <row r="110" s="9" customFormat="1"/>
    <row r="111" s="9" customFormat="1"/>
    <row r="112" s="9" customFormat="1"/>
    <row r="113" spans="1:2" s="9" customFormat="1"/>
    <row r="114" spans="1:2" s="9" customFormat="1"/>
    <row r="115" spans="1:2" s="9" customFormat="1"/>
    <row r="116" spans="1:2" s="9" customFormat="1"/>
    <row r="117" spans="1:2" s="9" customFormat="1"/>
    <row r="118" spans="1:2" s="9" customFormat="1"/>
    <row r="119" spans="1:2" s="9" customFormat="1"/>
    <row r="120" spans="1:2" s="9" customFormat="1"/>
    <row r="121" spans="1:2" s="9" customFormat="1"/>
    <row r="122" spans="1:2" s="9" customFormat="1"/>
    <row r="123" spans="1:2" s="9" customFormat="1"/>
    <row r="124" spans="1:2" s="9" customFormat="1"/>
    <row r="125" spans="1:2">
      <c r="A125" s="9"/>
      <c r="B125" s="9"/>
    </row>
    <row r="126" spans="1:2">
      <c r="A126" s="9"/>
      <c r="B126" s="9"/>
    </row>
    <row r="127" spans="1:2">
      <c r="A127" s="9"/>
      <c r="B127" s="9"/>
    </row>
    <row r="128" spans="1:2">
      <c r="A128" s="9"/>
      <c r="B128" s="9"/>
    </row>
  </sheetData>
  <sheetProtection algorithmName="SHA-512" hashValue="ChyQ6m+9qfCPB16dFYP1EWkGy5tZ2E3k+vzo6JO6SLQ/aq51hEr2T3FrnOIkKS3rWkO9852mdqQK9lyV8l8GZw==" saltValue="J9qGUsQlx+O9Mvnyf54KQQ==" spinCount="100000" sheet="1" objects="1" scenarios="1"/>
  <conditionalFormatting sqref="E27">
    <cfRule type="cellIs" dxfId="7" priority="7" operator="lessThan">
      <formula>(#REF!*9/5)+32</formula>
    </cfRule>
    <cfRule type="cellIs" dxfId="6" priority="8" operator="lessThan">
      <formula>32</formula>
    </cfRule>
  </conditionalFormatting>
  <conditionalFormatting sqref="E23">
    <cfRule type="cellIs" dxfId="5" priority="5" operator="lessThan">
      <formula>(#REF!*9/5)+32</formula>
    </cfRule>
    <cfRule type="cellIs" dxfId="4" priority="6" operator="lessThan">
      <formula>32</formula>
    </cfRule>
  </conditionalFormatting>
  <conditionalFormatting sqref="B23">
    <cfRule type="cellIs" dxfId="3" priority="3" operator="lessThan">
      <formula>(#REF!*9/5)+32</formula>
    </cfRule>
    <cfRule type="cellIs" dxfId="2" priority="4" operator="lessThan">
      <formula>32</formula>
    </cfRule>
  </conditionalFormatting>
  <conditionalFormatting sqref="B24">
    <cfRule type="cellIs" dxfId="1" priority="1" operator="lessThan">
      <formula>(#REF!*9/5)+32</formula>
    </cfRule>
    <cfRule type="cellIs" dxfId="0" priority="2" operator="lessThan">
      <formula>32</formula>
    </cfRule>
  </conditionalFormatting>
  <dataValidations disablePrompts="1" count="7">
    <dataValidation type="custom" allowBlank="1" showInputMessage="1" showErrorMessage="1" promptTitle="Enter Starting Water Temperature" prompt="Enter the starting temperature of the water to be heated. It must be less than the Desired or ending water temperature below._x000a_Range: 32-212_x000a_" sqref="B23" xr:uid="{B1C6C96B-1B41-4745-A1DA-3495B16B3D96}">
      <formula1>AND(B23&lt;B24,B23&gt;32)</formula1>
    </dataValidation>
    <dataValidation type="custom" allowBlank="1" showInputMessage="1" showErrorMessage="1" promptTitle="Enter Desired Water Temperature" prompt="Enter the temperature you would like to heat the water to. Must be greater than the starting water temperature._x000a_Range: 32-212" sqref="B24" xr:uid="{B6ABC67F-B182-4109-A758-57F0824CD95B}">
      <formula1>AND(B23&gt;B22,B23&lt;212)</formula1>
    </dataValidation>
    <dataValidation type="decimal" operator="greaterThan" allowBlank="1" showInputMessage="1" showErrorMessage="1" promptTitle="Enter the Hot water volume" prompt="Enter the volume of water you want to heat from the starting temprature to the ending temperature._x000a_Range: greater than 0" sqref="B28" xr:uid="{B1D73307-B31E-4C44-83BC-43A4103BA8CE}">
      <formula1>0</formula1>
    </dataValidation>
    <dataValidation type="decimal" operator="greaterThan" allowBlank="1" showInputMessage="1" showErrorMessage="1" promptTitle="Enter Heating Time" prompt="Enter the how much time it takes to heat the hot water volume above from the starting temperature to the desired or ending water temperature._x000a_Range: greater than 0" sqref="B29" xr:uid="{6D6EA071-0C91-42C3-8739-90988B12E6E2}">
      <formula1>0</formula1>
    </dataValidation>
    <dataValidation type="decimal" allowBlank="1" showInputMessage="1" showErrorMessage="1" promptTitle="Enter Beer Barrel Production" prompt="Enter the annual number of barrels of beer produced._x000a_Range: 0-6,000,000" sqref="B32" xr:uid="{E517A8BF-9B56-472C-BC6B-4EF6E9F29081}">
      <formula1>0.1</formula1>
      <formula2>6000000</formula2>
    </dataValidation>
    <dataValidation type="custom" allowBlank="1" showInputMessage="1" showErrorMessage="1" errorTitle="Input temperature too low" error="The input temperature is too low. Increase the volume of water to be cooled or increase the starting temperature of the water you want to cool (above)." promptTitle="Enter starting temperature" prompt="Enter the starting temperature of the water you want to cool._x000a_Range: 32-212" sqref="E23" xr:uid="{0AA14615-159E-4176-A506-B0F531441F0D}">
      <formula1>(E27&gt;32)</formula1>
    </dataValidation>
    <dataValidation type="custom" allowBlank="1" showInputMessage="1" showErrorMessage="1" errorTitle="Volume too small" error="The input volume is too small. Increase the volume of water to be cooled or increase the starting temperature of the water you want to cool (above)." promptTitle="Enter Cooled water volume" prompt="Enter the volume of the water you want to cool. Volume must be large enough to prevent the calculated ending water temperature being less than 32._x000a_Range: greater than 0" sqref="E24" xr:uid="{811FA9D6-83A0-4DB9-BF31-8A8E13267A01}">
      <formula1>E27&gt;32</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D3138-ACA3-49B3-9427-E526036B12FE}">
  <sheetPr codeName="Sheet6">
    <tabColor theme="7" tint="0.79998168889431442"/>
  </sheetPr>
  <dimension ref="A1:K81"/>
  <sheetViews>
    <sheetView workbookViewId="0">
      <selection activeCell="K15" sqref="K15"/>
    </sheetView>
  </sheetViews>
  <sheetFormatPr defaultColWidth="8.85546875" defaultRowHeight="15"/>
  <cols>
    <col min="1" max="1" width="9.42578125" style="10" customWidth="1"/>
    <col min="2" max="2" width="42.42578125" style="125" bestFit="1" customWidth="1"/>
    <col min="3" max="3" width="12.140625" style="125" customWidth="1"/>
    <col min="4" max="4" width="16.42578125" style="10" customWidth="1"/>
    <col min="5" max="16384" width="8.85546875" style="10"/>
  </cols>
  <sheetData>
    <row r="1" spans="1:11" s="11" customFormat="1" ht="34.5">
      <c r="A1" s="4" t="s">
        <v>0</v>
      </c>
      <c r="B1" s="120"/>
      <c r="C1" s="121"/>
      <c r="E1" s="5"/>
      <c r="I1" s="5"/>
    </row>
    <row r="2" spans="1:11" s="11" customFormat="1" ht="20.100000000000001">
      <c r="A2" s="6" t="s">
        <v>12</v>
      </c>
      <c r="B2" s="121"/>
      <c r="C2" s="121"/>
    </row>
    <row r="3" spans="1:11" s="11" customFormat="1">
      <c r="B3" s="121"/>
      <c r="C3" s="121"/>
    </row>
    <row r="4" spans="1:11" s="9" customFormat="1">
      <c r="B4" s="22"/>
      <c r="C4" s="22"/>
    </row>
    <row r="5" spans="1:11" s="9" customFormat="1">
      <c r="B5" s="22"/>
      <c r="C5" s="22"/>
      <c r="J5" s="3"/>
      <c r="K5" s="3"/>
    </row>
    <row r="6" spans="1:11" s="9" customFormat="1">
      <c r="B6" s="22"/>
      <c r="C6" s="22"/>
      <c r="J6" s="3"/>
      <c r="K6" s="3"/>
    </row>
    <row r="7" spans="1:11" s="9" customFormat="1">
      <c r="B7" s="22"/>
      <c r="C7" s="22"/>
      <c r="J7" s="3"/>
      <c r="K7" s="3"/>
    </row>
    <row r="8" spans="1:11" s="9" customFormat="1">
      <c r="B8" s="22"/>
      <c r="C8" s="22"/>
    </row>
    <row r="9" spans="1:11" s="9" customFormat="1">
      <c r="B9" s="22"/>
      <c r="C9" s="22"/>
    </row>
    <row r="10" spans="1:11" s="9" customFormat="1">
      <c r="B10" s="22"/>
      <c r="C10" s="22"/>
    </row>
    <row r="11" spans="1:11" s="9" customFormat="1">
      <c r="B11" s="22"/>
      <c r="C11" s="22"/>
    </row>
    <row r="12" spans="1:11" s="9" customFormat="1">
      <c r="B12" s="22"/>
      <c r="C12" s="22"/>
    </row>
    <row r="13" spans="1:11" s="9" customFormat="1">
      <c r="B13" s="22"/>
      <c r="C13" s="22"/>
    </row>
    <row r="14" spans="1:11" s="9" customFormat="1" ht="23.45" thickBot="1">
      <c r="B14" s="123" t="s">
        <v>498</v>
      </c>
      <c r="C14" s="124"/>
      <c r="D14" s="89"/>
      <c r="E14" s="122"/>
      <c r="F14" s="122"/>
      <c r="G14" s="122"/>
    </row>
    <row r="15" spans="1:11" s="9" customFormat="1" ht="15.6" thickTop="1">
      <c r="B15" s="10"/>
      <c r="C15" s="22"/>
    </row>
    <row r="16" spans="1:11" s="9" customFormat="1">
      <c r="B16" s="126" t="s">
        <v>499</v>
      </c>
      <c r="C16" s="127" t="s">
        <v>500</v>
      </c>
      <c r="D16" s="128" t="s">
        <v>501</v>
      </c>
    </row>
    <row r="17" spans="2:4" s="9" customFormat="1">
      <c r="B17" s="129" t="s">
        <v>502</v>
      </c>
      <c r="C17" s="130" t="s">
        <v>503</v>
      </c>
      <c r="D17" s="131" t="s">
        <v>504</v>
      </c>
    </row>
    <row r="18" spans="2:4" s="9" customFormat="1">
      <c r="B18" s="256" t="s">
        <v>505</v>
      </c>
      <c r="C18" s="257"/>
      <c r="D18" s="258"/>
    </row>
    <row r="19" spans="2:4" s="9" customFormat="1">
      <c r="B19" s="31" t="s">
        <v>506</v>
      </c>
      <c r="C19" s="79" t="s">
        <v>507</v>
      </c>
      <c r="D19" s="79">
        <v>4</v>
      </c>
    </row>
    <row r="20" spans="2:4" s="9" customFormat="1">
      <c r="B20" s="31" t="s">
        <v>508</v>
      </c>
      <c r="C20" s="79" t="s">
        <v>507</v>
      </c>
      <c r="D20" s="79">
        <v>3</v>
      </c>
    </row>
    <row r="21" spans="2:4" s="9" customFormat="1">
      <c r="B21" s="31" t="s">
        <v>509</v>
      </c>
      <c r="C21" s="79" t="s">
        <v>510</v>
      </c>
      <c r="D21" s="79">
        <v>2</v>
      </c>
    </row>
    <row r="22" spans="2:4" s="9" customFormat="1">
      <c r="B22" s="31" t="s">
        <v>511</v>
      </c>
      <c r="C22" s="79">
        <v>2.7</v>
      </c>
      <c r="D22" s="79" t="s">
        <v>512</v>
      </c>
    </row>
    <row r="23" spans="2:4" s="9" customFormat="1">
      <c r="B23" s="31" t="s">
        <v>513</v>
      </c>
      <c r="C23" s="79" t="s">
        <v>507</v>
      </c>
      <c r="D23" s="79">
        <v>3.4</v>
      </c>
    </row>
    <row r="24" spans="2:4" s="9" customFormat="1">
      <c r="B24" s="31" t="s">
        <v>514</v>
      </c>
      <c r="C24" s="79" t="s">
        <v>507</v>
      </c>
      <c r="D24" s="79" t="s">
        <v>507</v>
      </c>
    </row>
    <row r="25" spans="2:4" s="9" customFormat="1">
      <c r="B25" s="31" t="s">
        <v>515</v>
      </c>
      <c r="C25" s="79" t="s">
        <v>507</v>
      </c>
      <c r="D25" s="79">
        <v>6</v>
      </c>
    </row>
    <row r="26" spans="2:4" s="9" customFormat="1">
      <c r="B26" s="31" t="s">
        <v>516</v>
      </c>
      <c r="C26" s="79" t="s">
        <v>517</v>
      </c>
      <c r="D26" s="79" t="s">
        <v>518</v>
      </c>
    </row>
    <row r="27" spans="2:4" s="9" customFormat="1">
      <c r="B27" s="31" t="s">
        <v>519</v>
      </c>
      <c r="C27" s="79">
        <v>1</v>
      </c>
      <c r="D27" s="79" t="s">
        <v>520</v>
      </c>
    </row>
    <row r="28" spans="2:4" s="9" customFormat="1">
      <c r="B28" s="31" t="s">
        <v>521</v>
      </c>
      <c r="C28" s="79"/>
      <c r="D28" s="79" t="s">
        <v>522</v>
      </c>
    </row>
    <row r="29" spans="2:4" s="9" customFormat="1">
      <c r="B29" s="253" t="s">
        <v>523</v>
      </c>
      <c r="C29" s="254"/>
      <c r="D29" s="255"/>
    </row>
    <row r="30" spans="2:4" s="9" customFormat="1">
      <c r="B30" s="31" t="s">
        <v>524</v>
      </c>
      <c r="C30" s="79" t="s">
        <v>512</v>
      </c>
      <c r="D30" s="79" t="s">
        <v>525</v>
      </c>
    </row>
    <row r="31" spans="2:4" s="9" customFormat="1">
      <c r="B31" s="31" t="s">
        <v>526</v>
      </c>
      <c r="C31" s="79">
        <v>2</v>
      </c>
      <c r="D31" s="79" t="s">
        <v>527</v>
      </c>
    </row>
    <row r="32" spans="2:4" s="9" customFormat="1">
      <c r="B32" s="31" t="s">
        <v>528</v>
      </c>
      <c r="C32" s="79" t="s">
        <v>527</v>
      </c>
      <c r="D32" s="79" t="s">
        <v>527</v>
      </c>
    </row>
    <row r="33" spans="2:4" s="9" customFormat="1">
      <c r="B33" s="253" t="s">
        <v>529</v>
      </c>
      <c r="C33" s="254"/>
      <c r="D33" s="255"/>
    </row>
    <row r="34" spans="2:4" s="9" customFormat="1">
      <c r="B34" s="31" t="s">
        <v>530</v>
      </c>
      <c r="C34" s="79">
        <v>3.6</v>
      </c>
      <c r="D34" s="79" t="s">
        <v>527</v>
      </c>
    </row>
    <row r="35" spans="2:4" s="9" customFormat="1">
      <c r="B35" s="31" t="s">
        <v>531</v>
      </c>
      <c r="C35" s="79">
        <v>5.5</v>
      </c>
      <c r="D35" s="79" t="s">
        <v>532</v>
      </c>
    </row>
    <row r="36" spans="2:4" s="9" customFormat="1">
      <c r="B36" s="31" t="s">
        <v>533</v>
      </c>
      <c r="C36" s="79" t="s">
        <v>507</v>
      </c>
      <c r="D36" s="79">
        <v>4</v>
      </c>
    </row>
    <row r="37" spans="2:4" s="9" customFormat="1">
      <c r="B37" s="31" t="s">
        <v>534</v>
      </c>
      <c r="C37" s="79" t="s">
        <v>535</v>
      </c>
      <c r="D37" s="79" t="s">
        <v>536</v>
      </c>
    </row>
    <row r="38" spans="2:4" s="9" customFormat="1">
      <c r="B38" s="31" t="s">
        <v>537</v>
      </c>
      <c r="C38" s="79" t="s">
        <v>538</v>
      </c>
      <c r="D38" s="79" t="s">
        <v>539</v>
      </c>
    </row>
    <row r="39" spans="2:4" s="9" customFormat="1">
      <c r="B39" s="253" t="s">
        <v>540</v>
      </c>
      <c r="C39" s="254"/>
      <c r="D39" s="255"/>
    </row>
    <row r="40" spans="2:4" s="9" customFormat="1">
      <c r="B40" s="31" t="s">
        <v>541</v>
      </c>
      <c r="C40" s="79" t="s">
        <v>542</v>
      </c>
      <c r="D40" s="79" t="s">
        <v>543</v>
      </c>
    </row>
    <row r="41" spans="2:4" s="9" customFormat="1">
      <c r="B41" s="31" t="s">
        <v>544</v>
      </c>
      <c r="C41" s="79" t="s">
        <v>538</v>
      </c>
      <c r="D41" s="79">
        <v>8</v>
      </c>
    </row>
    <row r="42" spans="2:4" s="9" customFormat="1">
      <c r="B42" s="31" t="s">
        <v>545</v>
      </c>
      <c r="C42" s="79" t="s">
        <v>546</v>
      </c>
      <c r="D42" s="79" t="s">
        <v>539</v>
      </c>
    </row>
    <row r="43" spans="2:4" s="9" customFormat="1">
      <c r="B43" s="31" t="s">
        <v>547</v>
      </c>
      <c r="C43" s="79" t="s">
        <v>548</v>
      </c>
      <c r="D43" s="79" t="s">
        <v>549</v>
      </c>
    </row>
    <row r="44" spans="2:4" s="9" customFormat="1">
      <c r="B44" s="253" t="s">
        <v>550</v>
      </c>
      <c r="C44" s="254"/>
      <c r="D44" s="255"/>
    </row>
    <row r="45" spans="2:4" s="9" customFormat="1">
      <c r="B45" s="31" t="s">
        <v>551</v>
      </c>
      <c r="C45" s="79" t="s">
        <v>538</v>
      </c>
      <c r="D45" s="79" t="s">
        <v>539</v>
      </c>
    </row>
    <row r="46" spans="2:4" s="9" customFormat="1">
      <c r="B46" s="31" t="s">
        <v>552</v>
      </c>
      <c r="C46" s="79">
        <v>2</v>
      </c>
      <c r="D46" s="79">
        <v>19</v>
      </c>
    </row>
    <row r="47" spans="2:4" s="9" customFormat="1">
      <c r="B47" s="253" t="s">
        <v>553</v>
      </c>
      <c r="C47" s="254"/>
      <c r="D47" s="255"/>
    </row>
    <row r="48" spans="2:4" s="9" customFormat="1">
      <c r="B48" s="31" t="s">
        <v>554</v>
      </c>
      <c r="C48" s="79" t="s">
        <v>555</v>
      </c>
      <c r="D48" s="79" t="s">
        <v>556</v>
      </c>
    </row>
    <row r="49" spans="2:4" s="9" customFormat="1">
      <c r="B49" s="31" t="s">
        <v>557</v>
      </c>
      <c r="C49" s="79" t="s">
        <v>558</v>
      </c>
      <c r="D49" s="79" t="s">
        <v>559</v>
      </c>
    </row>
    <row r="50" spans="2:4" s="9" customFormat="1">
      <c r="B50" s="31" t="s">
        <v>560</v>
      </c>
      <c r="C50" s="79"/>
      <c r="D50" s="79">
        <v>23</v>
      </c>
    </row>
    <row r="51" spans="2:4" s="9" customFormat="1">
      <c r="B51" s="31" t="s">
        <v>561</v>
      </c>
      <c r="C51" s="79" t="s">
        <v>507</v>
      </c>
      <c r="D51" s="79" t="s">
        <v>562</v>
      </c>
    </row>
    <row r="52" spans="2:4" s="9" customFormat="1">
      <c r="B52" s="31" t="s">
        <v>563</v>
      </c>
      <c r="C52" s="79" t="s">
        <v>538</v>
      </c>
      <c r="D52" s="79" t="s">
        <v>564</v>
      </c>
    </row>
    <row r="53" spans="2:4" s="9" customFormat="1">
      <c r="B53" s="31" t="s">
        <v>565</v>
      </c>
      <c r="C53" s="79" t="s">
        <v>538</v>
      </c>
      <c r="D53" s="79" t="s">
        <v>566</v>
      </c>
    </row>
    <row r="54" spans="2:4" s="9" customFormat="1">
      <c r="B54" s="31" t="s">
        <v>567</v>
      </c>
      <c r="C54" s="79">
        <v>3</v>
      </c>
      <c r="D54" s="79">
        <v>17</v>
      </c>
    </row>
    <row r="55" spans="2:4" s="9" customFormat="1">
      <c r="B55" s="253" t="s">
        <v>568</v>
      </c>
      <c r="C55" s="254"/>
      <c r="D55" s="255"/>
    </row>
    <row r="56" spans="2:4" s="9" customFormat="1">
      <c r="B56" s="31" t="s">
        <v>569</v>
      </c>
      <c r="C56" s="79" t="s">
        <v>538</v>
      </c>
      <c r="D56" s="79" t="s">
        <v>539</v>
      </c>
    </row>
    <row r="57" spans="2:4" s="9" customFormat="1">
      <c r="B57" s="31" t="s">
        <v>570</v>
      </c>
      <c r="C57" s="79" t="s">
        <v>558</v>
      </c>
      <c r="D57" s="79" t="s">
        <v>539</v>
      </c>
    </row>
    <row r="58" spans="2:4" s="9" customFormat="1">
      <c r="B58" s="31" t="s">
        <v>571</v>
      </c>
      <c r="C58" s="79" t="s">
        <v>558</v>
      </c>
      <c r="D58" s="79" t="s">
        <v>539</v>
      </c>
    </row>
    <row r="59" spans="2:4" s="9" customFormat="1">
      <c r="B59" s="253" t="s">
        <v>572</v>
      </c>
      <c r="C59" s="254"/>
      <c r="D59" s="255"/>
    </row>
    <row r="60" spans="2:4" s="9" customFormat="1">
      <c r="B60" s="31" t="s">
        <v>573</v>
      </c>
      <c r="C60" s="79" t="s">
        <v>574</v>
      </c>
      <c r="D60" s="79" t="s">
        <v>539</v>
      </c>
    </row>
    <row r="61" spans="2:4" s="9" customFormat="1">
      <c r="B61" s="31" t="s">
        <v>575</v>
      </c>
      <c r="C61" s="79">
        <v>4</v>
      </c>
      <c r="D61" s="79">
        <v>19</v>
      </c>
    </row>
    <row r="62" spans="2:4" s="9" customFormat="1">
      <c r="B62" s="31" t="s">
        <v>576</v>
      </c>
      <c r="C62" s="79" t="s">
        <v>538</v>
      </c>
      <c r="D62" s="79">
        <v>1</v>
      </c>
    </row>
    <row r="63" spans="2:4" s="9" customFormat="1">
      <c r="B63" s="31" t="s">
        <v>577</v>
      </c>
      <c r="C63" s="79" t="s">
        <v>538</v>
      </c>
      <c r="D63" s="79" t="s">
        <v>578</v>
      </c>
    </row>
    <row r="64" spans="2:4" s="9" customFormat="1">
      <c r="B64" s="253" t="s">
        <v>579</v>
      </c>
      <c r="C64" s="254"/>
      <c r="D64" s="255"/>
    </row>
    <row r="65" spans="2:4" s="9" customFormat="1">
      <c r="B65" s="31" t="s">
        <v>580</v>
      </c>
      <c r="C65" s="79">
        <v>3</v>
      </c>
      <c r="D65" s="79">
        <v>6</v>
      </c>
    </row>
    <row r="66" spans="2:4" s="9" customFormat="1">
      <c r="B66" s="31" t="s">
        <v>581</v>
      </c>
      <c r="C66" s="79">
        <v>3.4</v>
      </c>
      <c r="D66" s="79">
        <v>23</v>
      </c>
    </row>
    <row r="67" spans="2:4" s="9" customFormat="1">
      <c r="B67" s="22"/>
      <c r="C67" s="22"/>
    </row>
    <row r="68" spans="2:4" s="9" customFormat="1">
      <c r="B68" s="22"/>
      <c r="C68" s="22"/>
    </row>
    <row r="69" spans="2:4" s="9" customFormat="1">
      <c r="B69" s="22"/>
      <c r="C69" s="22"/>
    </row>
    <row r="70" spans="2:4" s="9" customFormat="1">
      <c r="B70" s="22"/>
      <c r="C70" s="22"/>
    </row>
    <row r="71" spans="2:4" s="9" customFormat="1">
      <c r="B71" s="22"/>
      <c r="C71" s="22"/>
    </row>
    <row r="72" spans="2:4" s="9" customFormat="1">
      <c r="B72" s="22"/>
      <c r="C72" s="22"/>
    </row>
    <row r="73" spans="2:4" s="9" customFormat="1">
      <c r="B73" s="22"/>
      <c r="C73" s="22"/>
    </row>
    <row r="74" spans="2:4" s="9" customFormat="1">
      <c r="B74" s="22"/>
      <c r="C74" s="22"/>
    </row>
    <row r="75" spans="2:4" s="9" customFormat="1">
      <c r="B75" s="22"/>
      <c r="C75" s="22"/>
    </row>
    <row r="76" spans="2:4" s="9" customFormat="1">
      <c r="B76" s="22"/>
      <c r="C76" s="22"/>
    </row>
    <row r="77" spans="2:4" s="9" customFormat="1">
      <c r="B77" s="22"/>
      <c r="C77" s="22"/>
    </row>
    <row r="78" spans="2:4" s="9" customFormat="1">
      <c r="B78" s="22"/>
      <c r="C78" s="22"/>
    </row>
    <row r="79" spans="2:4" s="9" customFormat="1">
      <c r="B79" s="22"/>
      <c r="C79" s="22"/>
    </row>
    <row r="80" spans="2:4" s="9" customFormat="1">
      <c r="B80" s="22"/>
      <c r="C80" s="22"/>
    </row>
    <row r="81" spans="2:3" s="9" customFormat="1">
      <c r="B81" s="22"/>
      <c r="C81" s="22"/>
    </row>
  </sheetData>
  <sheetProtection algorithmName="SHA-512" hashValue="seOf+8aCCvsgwN3Tg5aeY0HUy9iiiEghq8vc4zrX4le82CEn/zVjhup6q5apmhPttRcO/QoBVlX24yfzPFFkNA==" saltValue="E7aJGo6efmD3KSyD0ccyhQ==" spinCount="100000" sheet="1" objects="1" scenarios="1"/>
  <mergeCells count="9">
    <mergeCell ref="B55:D55"/>
    <mergeCell ref="B59:D59"/>
    <mergeCell ref="B64:D64"/>
    <mergeCell ref="B33:D33"/>
    <mergeCell ref="B18:D18"/>
    <mergeCell ref="B29:D29"/>
    <mergeCell ref="B39:D39"/>
    <mergeCell ref="B44:D44"/>
    <mergeCell ref="B47:D4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989B5-8612-4D98-AE92-2C96CF105FE2}">
  <sheetPr codeName="Sheet7"/>
  <dimension ref="A1"/>
  <sheetViews>
    <sheetView workbookViewId="0"/>
  </sheetViews>
  <sheetFormatPr defaultRowHeight="14.45"/>
  <sheetData/>
  <sheetProtection algorithmName="SHA-512" hashValue="tQWTofpUAJlZk1WWplKLyqf4VibQYya5LMP9DUumqEEHkDqNiqy99kMxnleJ9dWzRlXWFLsL0Xek1NFnuzqA1g==" saltValue="seFf444ZwzLpBfclGu3etg==" spinCount="100000" sheet="1" objects="1" scenarios="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ED170-C22E-4667-A9EF-A78CDBFA3C13}">
  <sheetPr codeName="Sheet11"/>
  <dimension ref="A1:A228"/>
  <sheetViews>
    <sheetView zoomScale="80" zoomScaleNormal="80" workbookViewId="0">
      <selection activeCell="AA4" sqref="AA4"/>
    </sheetView>
  </sheetViews>
  <sheetFormatPr defaultRowHeight="14.45"/>
  <sheetData>
    <row r="1" s="3" customFormat="1"/>
    <row r="2" s="3" customFormat="1"/>
    <row r="3" s="3" customFormat="1"/>
    <row r="4" s="3" customFormat="1"/>
    <row r="5" s="3" customFormat="1"/>
    <row r="6" s="3" customFormat="1"/>
    <row r="7" s="3" customFormat="1"/>
    <row r="8" s="3" customFormat="1"/>
    <row r="9" s="3" customFormat="1"/>
    <row r="10" s="3" customFormat="1"/>
    <row r="11" s="3" customFormat="1"/>
    <row r="12" s="3" customFormat="1"/>
    <row r="13" s="3" customFormat="1"/>
    <row r="14" s="3" customFormat="1"/>
    <row r="15" s="3" customFormat="1"/>
    <row r="16" s="3" customFormat="1"/>
    <row r="17" s="3" customFormat="1"/>
    <row r="18" s="3" customFormat="1"/>
    <row r="19" s="3" customFormat="1"/>
    <row r="20" s="3" customFormat="1"/>
    <row r="21" s="3" customFormat="1"/>
    <row r="22" s="3" customFormat="1"/>
    <row r="23" s="3" customFormat="1"/>
    <row r="24" s="3" customFormat="1"/>
    <row r="25" s="3" customFormat="1"/>
    <row r="26" s="3" customFormat="1"/>
    <row r="27" s="3" customFormat="1"/>
    <row r="28" s="3" customFormat="1"/>
    <row r="29" s="3" customFormat="1"/>
    <row r="30" s="3" customFormat="1"/>
    <row r="31" s="3" customFormat="1"/>
    <row r="32"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sheetData>
  <sheetProtection algorithmName="SHA-512" hashValue="k2brq+/mlaedUrmb+6q5InjKl6SovllT+wJU+mJ6cgxvhs+1ACxeMHqa16vwCgaBVdqPPZTbzsk6cw/i57wUVQ==" saltValue="B2jJ0vI5J5AiEBfAe/uKaw=="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1b5b6a0-38d5-4223-aeba-b8f7cdcc6ced" xsi:nil="true"/>
    <lcf76f155ced4ddcb4097134ff3c332f xmlns="9a5ab7e9-8036-42a3-9315-8fd80f0fd0f6">
      <Terms xmlns="http://schemas.microsoft.com/office/infopath/2007/PartnerControls"/>
    </lcf76f155ced4ddcb4097134ff3c332f>
    <Product xmlns="01b5b6a0-38d5-4223-aeba-b8f7cdcc6ced" xsi:nil="true"/>
    <ProductArea xmlns="01b5b6a0-38d5-4223-aeba-b8f7cdcc6ced" xsi:nil="true"/>
    <TestColumn xmlns="9a5ab7e9-8036-42a3-9315-8fd80f0fd0f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275573F17308458C5B5584CF540376" ma:contentTypeVersion="22" ma:contentTypeDescription="Create a new document." ma:contentTypeScope="" ma:versionID="5a6f8f27e5c48d06b265c0edf9b113a7">
  <xsd:schema xmlns:xsd="http://www.w3.org/2001/XMLSchema" xmlns:xs="http://www.w3.org/2001/XMLSchema" xmlns:p="http://schemas.microsoft.com/office/2006/metadata/properties" xmlns:ns2="01b5b6a0-38d5-4223-aeba-b8f7cdcc6ced" xmlns:ns3="9a5ab7e9-8036-42a3-9315-8fd80f0fd0f6" targetNamespace="http://schemas.microsoft.com/office/2006/metadata/properties" ma:root="true" ma:fieldsID="c79f718e75f262cddf401b79c46d22db" ns2:_="" ns3:_="">
    <xsd:import namespace="01b5b6a0-38d5-4223-aeba-b8f7cdcc6ced"/>
    <xsd:import namespace="9a5ab7e9-8036-42a3-9315-8fd80f0fd0f6"/>
    <xsd:element name="properties">
      <xsd:complexType>
        <xsd:sequence>
          <xsd:element name="documentManagement">
            <xsd:complexType>
              <xsd:all>
                <xsd:element ref="ns2:ProductArea" minOccurs="0"/>
                <xsd:element ref="ns2:Product" minOccurs="0"/>
                <xsd:element ref="ns3:MediaServiceMetadata" minOccurs="0"/>
                <xsd:element ref="ns3:MediaServiceFastMetadata" minOccurs="0"/>
                <xsd:element ref="ns3:TestColumn"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2:SharedWithUsers" minOccurs="0"/>
                <xsd:element ref="ns2:SharedWithDetails"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5b6a0-38d5-4223-aeba-b8f7cdcc6ced" elementFormDefault="qualified">
    <xsd:import namespace="http://schemas.microsoft.com/office/2006/documentManagement/types"/>
    <xsd:import namespace="http://schemas.microsoft.com/office/infopath/2007/PartnerControls"/>
    <xsd:element name="ProductArea" ma:index="8" nillable="true" ma:displayName="Product Area" ma:list="{ee28c625-878c-4cea-86be-e21a6c1a0e09}" ma:internalName="ProductArea" ma:showField="Title" ma:web="01b5b6a0-38d5-4223-aeba-b8f7cdcc6ced">
      <xsd:simpleType>
        <xsd:restriction base="dms:Lookup"/>
      </xsd:simpleType>
    </xsd:element>
    <xsd:element name="Product" ma:index="9" nillable="true" ma:displayName="Product" ma:list="{2f6913c5-50b6-488a-9167-dbc58d1c1903}" ma:internalName="Product" ma:showField="Title" ma:web="01b5b6a0-38d5-4223-aeba-b8f7cdcc6ced">
      <xsd:simpleType>
        <xsd:restriction base="dms:Lookup"/>
      </xsd:simple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6c162469-b2f0-4656-aa8d-1871b9de339d}" ma:internalName="TaxCatchAll" ma:showField="CatchAllData" ma:web="01b5b6a0-38d5-4223-aeba-b8f7cdcc6ce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a5ab7e9-8036-42a3-9315-8fd80f0fd0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TestColumn" ma:index="12" nillable="true" ma:displayName="Test Column" ma:format="Dropdown" ma:internalName="TestColumn">
      <xsd:simpleType>
        <xsd:restriction base="dms:Choice">
          <xsd:enumeration value="Choice 1"/>
          <xsd:enumeration value="Choice 2"/>
          <xsd:enumeration value="Choice 3"/>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eb8b7529-88e4-4cf5-84d6-71c4601d93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5B0534-CACF-4D21-AF3E-65F3346659B7}"/>
</file>

<file path=customXml/itemProps2.xml><?xml version="1.0" encoding="utf-8"?>
<ds:datastoreItem xmlns:ds="http://schemas.openxmlformats.org/officeDocument/2006/customXml" ds:itemID="{BB068F59-9E28-4E27-A81F-A3A9E5E16CCF}"/>
</file>

<file path=customXml/itemProps3.xml><?xml version="1.0" encoding="utf-8"?>
<ds:datastoreItem xmlns:ds="http://schemas.openxmlformats.org/officeDocument/2006/customXml" ds:itemID="{7EECD1B7-F564-4829-89D0-FE49449F47D0}"/>
</file>

<file path=docMetadata/LabelInfo.xml><?xml version="1.0" encoding="utf-8"?>
<clbl:labelList xmlns:clbl="http://schemas.microsoft.com/office/2020/mipLabelMetadata">
  <clbl:label id="{543eaf7b-7e0d-4076-a34d-1fc8cc20e5bb}" enabled="0" method="" siteId="{543eaf7b-7e0d-4076-a34d-1fc8cc20e5bb}"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Stevens, Matthew</dc:creator>
  <cp:keywords/>
  <dc:description/>
  <cp:lastModifiedBy/>
  <cp:revision/>
  <dcterms:created xsi:type="dcterms:W3CDTF">2024-04-04T17:52:32Z</dcterms:created>
  <dcterms:modified xsi:type="dcterms:W3CDTF">2025-06-16T16:56:27Z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0x01010005275573F17308458C5B5584CF540376</vt:lpwstr>
  </property>
  <property fmtid="{D5CDD505-2E9C-101B-9397-08002B2CF9AE}" pid="3" name="MediaServiceImageTags">
    <vt:lpwstr/>
  </property>
</Properties>
</file>